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360" tabRatio="596" firstSheet="6" activeTab="11"/>
  </bookViews>
  <sheets>
    <sheet name="งบดุลบัญชี" sheetId="1" r:id="rId1"/>
    <sheet name="งบทดลอง" sheetId="2" r:id="rId2"/>
    <sheet name="Sheet1" sheetId="3" r:id="rId3"/>
    <sheet name="หมายเหตุ1 ประกอบงบ" sheetId="4" r:id="rId4"/>
    <sheet name="หมายเหตุ 2, 3 ประกอบงบ" sheetId="5" r:id="rId5"/>
    <sheet name="กระแสเงินสด" sheetId="6" r:id="rId6"/>
    <sheet name="รับ-จ่ายเงินสด" sheetId="7" r:id="rId7"/>
    <sheet name="แผนใช้เงินงบประมาณ" sheetId="8" r:id="rId8"/>
    <sheet name="กระดาษทำการกระทบยอด" sheetId="9" r:id="rId9"/>
    <sheet name="กระทบยอดเงินสะสม" sheetId="10" r:id="rId10"/>
    <sheet name="เงินอุดหนุนเฉพาะกิจ" sheetId="11" r:id="rId11"/>
    <sheet name="แบบแสดงฐานะการคลัง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8">'กระดาษทำการกระทบยอด'!$A$1:$X$927</definedName>
    <definedName name="_xlnm.Print_Area" localSheetId="9">'กระทบยอดเงินสะสม'!$A$1:$V$116</definedName>
    <definedName name="_xlnm.Print_Area" localSheetId="5">'กระแสเงินสด'!$A$1:$E$329</definedName>
    <definedName name="_xlnm.Print_Area" localSheetId="0">'งบดุลบัญชี'!$A$1:$CD$170</definedName>
    <definedName name="_xlnm.Print_Area" localSheetId="1">'งบทดลอง'!$A$1:$BJ$47</definedName>
    <definedName name="_xlnm.Print_Area" localSheetId="11">'แบบแสดงฐานะการคลัง'!$A$1:$D$51</definedName>
    <definedName name="_xlnm.Print_Area" localSheetId="6">'รับ-จ่ายเงินสด'!$A$1:$E$784</definedName>
    <definedName name="_xlnm.Print_Area" localSheetId="4">'หมายเหตุ 2, 3 ประกอบงบ'!$A$1:$G$224</definedName>
    <definedName name="_xlnm.Print_Area" localSheetId="3">'หมายเหตุ1 ประกอบงบ'!$A$1:$AV$79</definedName>
    <definedName name="_xlnm.Print_Titles" localSheetId="8">'กระดาษทำการกระทบยอด'!$A:$B,'กระดาษทำการกระทบยอด'!$812:$814</definedName>
    <definedName name="_xlnm.Print_Titles" localSheetId="0">'งบดุลบัญชี'!$A:$F,'งบดุลบัญชี'!$1:$2</definedName>
    <definedName name="_xlnm.Print_Titles" localSheetId="10">'เงินอุดหนุนเฉพาะกิจ'!$A:$A,'เงินอุดหนุนเฉพาะกิจ'!$1:$2</definedName>
    <definedName name="_xlnm.Print_Titles" localSheetId="11">'แบบแสดงฐานะการคลัง'!$4:$5</definedName>
    <definedName name="_xlnm.Print_Titles" localSheetId="6">'รับ-จ่ายเงินสด'!$A:$E</definedName>
  </definedNames>
  <calcPr fullCalcOnLoad="1"/>
</workbook>
</file>

<file path=xl/sharedStrings.xml><?xml version="1.0" encoding="utf-8"?>
<sst xmlns="http://schemas.openxmlformats.org/spreadsheetml/2006/main" count="5297" uniqueCount="614">
  <si>
    <t>รายการ</t>
  </si>
  <si>
    <t>เครดิต</t>
  </si>
  <si>
    <t>เงินสด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</si>
  <si>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</si>
  <si>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</si>
  <si>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</si>
  <si>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</si>
  <si>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</si>
  <si>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</si>
  <si>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</si>
  <si>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</si>
  <si>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</si>
  <si>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</si>
  <si>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</si>
  <si>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รายจ่ายค้างจ่าย</t>
  </si>
  <si>
    <t>เงินสะสม</t>
  </si>
  <si>
    <t>ประมาณการ</t>
  </si>
  <si>
    <t>รวม</t>
  </si>
  <si>
    <t>รายรับ</t>
  </si>
  <si>
    <t>ภาษีอากร</t>
  </si>
  <si>
    <t>รายได้เบ็ดเตล็ด</t>
  </si>
  <si>
    <t>รายได้จากทรัพย์สิน</t>
  </si>
  <si>
    <t>เงินอุดหนุนทั่วไป</t>
  </si>
  <si>
    <t>รายได้จากสาธารณูปโภคและการพาณิชย์</t>
  </si>
  <si>
    <t>จำนวนเงิน</t>
  </si>
  <si>
    <t>ค่าปรับผิดสัญญา</t>
  </si>
  <si>
    <t>ภาษีหัก ณ ที่จ่าย</t>
  </si>
  <si>
    <t>เงินประกันสัญญา</t>
  </si>
  <si>
    <t>จ่ายขาดเงินสะสม</t>
  </si>
  <si>
    <t>เทศบาลตำบลเขาพระ  อำเภอพิปูน  จังหวัดนครศรีธรรมราช</t>
  </si>
  <si>
    <t>รายจ่าย</t>
  </si>
  <si>
    <t>รวมรายจ่าย</t>
  </si>
  <si>
    <t>รวมรายรับ</t>
  </si>
  <si>
    <t>(นายวสันต์  ไทรแก้ว)</t>
  </si>
  <si>
    <t>ปลัดเทศบาล</t>
  </si>
  <si>
    <t>นายกเทศมนตรี</t>
  </si>
  <si>
    <t>หัวหน้ากองคลัง</t>
  </si>
  <si>
    <t>หนี้สินและเงินสะสม</t>
  </si>
  <si>
    <t>นายกเทศมนตรีตำบลเขาพระ</t>
  </si>
  <si>
    <t>ชื่อบัญชี</t>
  </si>
  <si>
    <t>เดบิต</t>
  </si>
  <si>
    <t>ภาษีบำรุงท้องที่</t>
  </si>
  <si>
    <t>ภาษีโรงเรือนและที่ดิน</t>
  </si>
  <si>
    <t>ภาษีป้าย</t>
  </si>
  <si>
    <t>ภาษีสุรา</t>
  </si>
  <si>
    <t>ภาษีสรรพสามิต</t>
  </si>
  <si>
    <t>ภาษีธุรกิจเฉพาะ</t>
  </si>
  <si>
    <t>ค่าภาคหลวงแร่</t>
  </si>
  <si>
    <t>ค่าภาคหลวงปิโตรเลียม</t>
  </si>
  <si>
    <t>บาท</t>
  </si>
  <si>
    <t>ภาษีจัดสรร</t>
  </si>
  <si>
    <t>เลขที่บัญชี</t>
  </si>
  <si>
    <t xml:space="preserve"> </t>
  </si>
  <si>
    <t xml:space="preserve">  </t>
  </si>
  <si>
    <t>ลูกหนี้เงินยืมสะสม</t>
  </si>
  <si>
    <t>ลูกหนี้เงินยืมงบประมาณ</t>
  </si>
  <si>
    <t>ลูกหนี้ภาษีบำรุงท้องที่</t>
  </si>
  <si>
    <t>ครุภัณฑ์</t>
  </si>
  <si>
    <t>รายจ่ายรอจ่าย</t>
  </si>
  <si>
    <t>ลูกหนี้ค่าน้ำประปา</t>
  </si>
  <si>
    <t>ค่าธรรมเนียมขอใช้น้ำประปา</t>
  </si>
  <si>
    <t>ค่าปรับผู้กระทำผิดกฎหมายจราจรทางบก</t>
  </si>
  <si>
    <t>ดอกเบี้ยเงินฝากธนาคาร</t>
  </si>
  <si>
    <t>รายได้จากการจำหน่ายน้ำ</t>
  </si>
  <si>
    <t>ค่าขายแบบแปลน</t>
  </si>
  <si>
    <t>รายได้เบ็ดเตล็ดอื่น</t>
  </si>
  <si>
    <t>ภาษีมูลค่าเพิ่ม 1 ใน 9</t>
  </si>
  <si>
    <t>ค่าธรรมเนียมอุทยานแห่งชาติ</t>
  </si>
  <si>
    <t>ค่าธรรมเนียมจดทะเบียนสิทธิและนิติกรรมที่ดิน</t>
  </si>
  <si>
    <t>เงินอุดหนุนระบุวัตถุประสงค์</t>
  </si>
  <si>
    <t>รับจ่าย</t>
  </si>
  <si>
    <t>Dr</t>
  </si>
  <si>
    <t>Cr</t>
  </si>
  <si>
    <t>บัญชีเงินสด</t>
  </si>
  <si>
    <t>บัญชีเงินฝากธนาคาร</t>
  </si>
  <si>
    <t>สาขาจันดี  835-6-00451-9</t>
  </si>
  <si>
    <t>สาขาพิปูน 815-5-00022-3</t>
  </si>
  <si>
    <t>สาขาจันดี  835-0-18075-7</t>
  </si>
  <si>
    <t>สาขานคร  801-0-55985-7</t>
  </si>
  <si>
    <t>สาขาพิปูน 815-2-37037-4</t>
  </si>
  <si>
    <t>สาขาพิปูน 815-2-50915-1</t>
  </si>
  <si>
    <t>บัญชีเงินฝาก กสท.</t>
  </si>
  <si>
    <t>รวมสินทรัพย์</t>
  </si>
  <si>
    <t>บัญชีเงินรับฝาก</t>
  </si>
  <si>
    <t>ค่าใช้จ่ายในการจัดเก็บภาษีบำรุงท้องที่</t>
  </si>
  <si>
    <t>ค่าตอบแทนแพทย์ระบบฉุกเฉิน (EMS)</t>
  </si>
  <si>
    <t>เงินทุนโครงการเศรษฐกิจชุมชน</t>
  </si>
  <si>
    <t>ภาคีเครือข่าย ทต.เขาพระ</t>
  </si>
  <si>
    <t>บัญชีรายจ่ายค้างจ่าย</t>
  </si>
  <si>
    <t>บัญชีรายจ่ายรอจ่าย</t>
  </si>
  <si>
    <t>บัญชีเงินสะสม</t>
  </si>
  <si>
    <t>รวมหนี้สินและเงินสะสม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</si>
  <si>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</si>
  <si>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</si>
  <si>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</si>
  <si>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ค่าธรรมเนียมใบอนุญาตขายสุรา</t>
  </si>
  <si>
    <t>ค่าธรรมเนียมเกี่ยวกับทะเบียนราษฎร</t>
  </si>
  <si>
    <t>หมวดรายได้จากทรัพย์สิน</t>
  </si>
  <si>
    <t>ค่าเช่าหรือบริการสถานที่</t>
  </si>
  <si>
    <t>ดอกเบี้ยเงินฝาก กสท.</t>
  </si>
  <si>
    <t>หมวดรายได้จากสาธารณูปโภคและการพาณิชย์</t>
  </si>
  <si>
    <t>หมวดรายได้เบ็ดเตล็ด</t>
  </si>
  <si>
    <t>ค่ารับรองสำเนาและถ่ายเอกสาร</t>
  </si>
  <si>
    <t>หมวดรายได้จากทุน</t>
  </si>
  <si>
    <t>ค่าขายทอดตลาดทรัพย์สิน</t>
  </si>
  <si>
    <t>รายได้ที่รัฐบาลเก็บแล้วจัดสรรให้ อปท.</t>
  </si>
  <si>
    <t>หมวดภาษีจัดสรร</t>
  </si>
  <si>
    <t>รายได้ที่รัฐบาลอุดหนุนให้ อปท.</t>
  </si>
  <si>
    <t>หมวดเงินอุดหนุนทั่วไป</t>
  </si>
  <si>
    <t>เงินอุดหนุนตามอำนาจหน้าที่และภารกิจถ่ายโอน</t>
  </si>
  <si>
    <t>หมวดเงินอุดหนุนระบุวัตถุประสงค์</t>
  </si>
  <si>
    <t>หมวดเงินอุดหนุนเฉพาะกิจ</t>
  </si>
  <si>
    <t>รวมทั้งสิ้น</t>
  </si>
  <si>
    <t>กรุงไทย กระแสรายวัน</t>
  </si>
  <si>
    <t>ธกส. กระแสรายวัน</t>
  </si>
  <si>
    <t>กรุงไทย ออมทรัพย์</t>
  </si>
  <si>
    <t>ธกส. ออมทรัพย์</t>
  </si>
  <si>
    <t>สินทรัพย์</t>
  </si>
  <si>
    <t>เงินเดือน (ฝ่ายประจำ)</t>
  </si>
  <si>
    <t>เงินเดือน (ฝ่ายการเมือง)</t>
  </si>
  <si>
    <t>เงินอุดหนุนเฉพาะกิจ</t>
  </si>
  <si>
    <t>รายได้จากทุน</t>
  </si>
  <si>
    <t>ศูนย์พัฒนาครอบครัว</t>
  </si>
  <si>
    <t>เบี้ยยังชีพคนชรา</t>
  </si>
  <si>
    <t>เบี้ยยังชีพคนพิการ</t>
  </si>
  <si>
    <t>งบทดลอง</t>
  </si>
  <si>
    <t>ลูกหนี้เงินยืมเงินงบประมาณ</t>
  </si>
  <si>
    <t>เงินประกันสังคม 5%</t>
  </si>
  <si>
    <t>เงินประกันสังคม</t>
  </si>
  <si>
    <t>เบี้ยยังชีพผู้พิการ</t>
  </si>
  <si>
    <t>เบี้ยยังชีพผู้ป่วยเอดส์</t>
  </si>
  <si>
    <t>เงินสำรองจ่าย</t>
  </si>
  <si>
    <t>กบท</t>
  </si>
  <si>
    <t>รหัสบัญชี</t>
  </si>
  <si>
    <t>เงินฝาก กสท.</t>
  </si>
  <si>
    <t>ลูกหนี้เงินยืมเงินสะสม</t>
  </si>
  <si>
    <t>รายงาน รับ - จ่าย เงินสด</t>
  </si>
  <si>
    <t>จนถึงปัจจุบัน</t>
  </si>
  <si>
    <t>เกิดขึ้นจริง</t>
  </si>
  <si>
    <t>เดือนนี้</t>
  </si>
  <si>
    <t>เดือน</t>
  </si>
  <si>
    <t>ยอดยกมา</t>
  </si>
  <si>
    <t>รายรับ (หมายเหตุ 1)</t>
  </si>
  <si>
    <t>ค่าใช้จ่ายในการจัดเก็บภาษี 5%</t>
  </si>
  <si>
    <t>เงินเดือนฝ่ายการเมือง</t>
  </si>
  <si>
    <t>เงินเดือนฝ่ายประจำ</t>
  </si>
  <si>
    <t>สูงกว่า</t>
  </si>
  <si>
    <t>(ต่ำกว่า)</t>
  </si>
  <si>
    <t>ยอดยกไป</t>
  </si>
  <si>
    <t>รายรับ              รายจ่าย</t>
  </si>
  <si>
    <t>รายงานกระแสเงินสด</t>
  </si>
  <si>
    <t>รับเงินรายรับ</t>
  </si>
  <si>
    <t>รับเงินรับฝาก</t>
  </si>
  <si>
    <t>รับเงินอุดหนุนเฉพาะกิจ</t>
  </si>
  <si>
    <t>จ่ายเงินตามงบประมาณ</t>
  </si>
  <si>
    <t>จ่ายเงินรับฝาก</t>
  </si>
  <si>
    <t>จ่ายเงินอุดหนุนระบุวัตถุประสงค์</t>
  </si>
  <si>
    <t>จ่ายเงินอุดหนุนเฉพาะกิจ</t>
  </si>
  <si>
    <t>จ่ายเงินลูกหนี้เงินยืมเงินงบประมาณ</t>
  </si>
  <si>
    <t>จ่ายเงินลูกหนี้เงินยืมเงินสะสม</t>
  </si>
  <si>
    <t>ตั้งแต่ต้นปีถึงปัจจุบัน</t>
  </si>
  <si>
    <t>ปรับปรุง</t>
  </si>
  <si>
    <t>จ่ายจากเงินงบประมาณ</t>
  </si>
  <si>
    <t>รับสูง หรือ (ต่ำ) กว่าจ่าย</t>
  </si>
  <si>
    <t>หมายเหตุ 1</t>
  </si>
  <si>
    <t>รายรับจริงประกอบงบทดลองและรายงานรับจ่ายเงินสด</t>
  </si>
  <si>
    <t>รับจริง</t>
  </si>
  <si>
    <t>(1) ภาษีโรงเรือนและที่ดิน</t>
  </si>
  <si>
    <t>(2) ภาษีบำรุงท้องที่</t>
  </si>
  <si>
    <t>(3) ภาษีป้าย</t>
  </si>
  <si>
    <t>(1) ค่าเช่าหรือบริการสถานที่</t>
  </si>
  <si>
    <t>(2) ดอกเบี้ยเงินฝากธนาคาร</t>
  </si>
  <si>
    <t>(3) ดอกเบี้ยเงินฝาก กสท.</t>
  </si>
  <si>
    <t>(1) รายได้จากการจำหน่ายน้ำ</t>
  </si>
  <si>
    <t>(1) ค่าขายแบบแปลน</t>
  </si>
  <si>
    <t>(1) ค่าขายทอดตลาดทรัพย์สิน</t>
  </si>
  <si>
    <t>(1) ภาษีมูลค่าเพิ่ม พรบ.กำหนดแผนฯ 2542</t>
  </si>
  <si>
    <t>(2)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</si>
  <si>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</si>
  <si>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</si>
  <si>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</si>
  <si>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</si>
  <si>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</si>
  <si>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ค่าธรรมเนียมอุทยานแห่งชาติ</t>
  </si>
  <si>
    <t>(9) ค่าธรรมเนียมจดทะเบียนสิทธิและนิติกรรมที่ดิน</t>
  </si>
  <si>
    <t>(1) ศูนย์พัฒนาครอบครัว</t>
  </si>
  <si>
    <t>(1) เบี้ยยังชีพคนชรา</t>
  </si>
  <si>
    <t>(2) เบี้ยยังชีพคนพิการ</t>
  </si>
  <si>
    <t>(5) ค่าวัสดุการศึกษา</t>
  </si>
  <si>
    <t>รับจริงจนถึงปัจจุบัน</t>
  </si>
  <si>
    <t>รวมรายรับตามงบประมาณ</t>
  </si>
  <si>
    <t>รวมรายรับทั้งสิ้น</t>
  </si>
  <si>
    <t>กระดาษทำการกระทบยอด</t>
  </si>
  <si>
    <t>รายจ่ายตามงบประมาณ (จ่ายจากรายรับ)</t>
  </si>
  <si>
    <t>แผนงาน</t>
  </si>
  <si>
    <t>หมวด/ประเภทรายจ่าย</t>
  </si>
  <si>
    <t>00110</t>
  </si>
  <si>
    <t>00111</t>
  </si>
  <si>
    <t>00113</t>
  </si>
  <si>
    <t>00120</t>
  </si>
  <si>
    <t>00121</t>
  </si>
  <si>
    <t>00210</t>
  </si>
  <si>
    <t>00211</t>
  </si>
  <si>
    <t>00212</t>
  </si>
  <si>
    <t>00221</t>
  </si>
  <si>
    <t>00223</t>
  </si>
  <si>
    <t>00232</t>
  </si>
  <si>
    <t>00241</t>
  </si>
  <si>
    <t>00242</t>
  </si>
  <si>
    <t>00252</t>
  </si>
  <si>
    <t>00262</t>
  </si>
  <si>
    <t>00263</t>
  </si>
  <si>
    <t>00321</t>
  </si>
  <si>
    <t>00322</t>
  </si>
  <si>
    <t>00411</t>
  </si>
  <si>
    <t>00220</t>
  </si>
  <si>
    <t>00230</t>
  </si>
  <si>
    <t>00240</t>
  </si>
  <si>
    <t>00250</t>
  </si>
  <si>
    <t>00260</t>
  </si>
  <si>
    <t>00320</t>
  </si>
  <si>
    <t>00410</t>
  </si>
  <si>
    <t>เงินสมทบประกันสังคม</t>
  </si>
  <si>
    <t>เงินสมทบ กบท.</t>
  </si>
  <si>
    <t>เงินสมทบ สปสช.</t>
  </si>
  <si>
    <t>เงินเดือนนายก/รองนายก</t>
  </si>
  <si>
    <t>ค่าตอบแทนพิเศษนายก/รองนายก</t>
  </si>
  <si>
    <t>ค่าตอบแทนเลขาฯ/ที่ปรึกษา</t>
  </si>
  <si>
    <t>ค่าตอบแทนสมาชิก</t>
  </si>
  <si>
    <t>เงินประจำตำแหน่งนายก/รองนายก</t>
  </si>
  <si>
    <t>รวมเดือนนี้</t>
  </si>
  <si>
    <t>รวมตั้งแต่ต้นปี</t>
  </si>
  <si>
    <t>เงินเดือนพนักงานเทศบาล</t>
  </si>
  <si>
    <t>เงินเพิ่มพนักงานเทศบาล</t>
  </si>
  <si>
    <t>เงินประจำตำแหน่ง</t>
  </si>
  <si>
    <t>เงินเพิ่มลูกจ้างประจำ</t>
  </si>
  <si>
    <t>ค่าจ้างพนักงานจ้าง</t>
  </si>
  <si>
    <t>เงินเพิ่มพนักงานจ้าง</t>
  </si>
  <si>
    <t>ค่าตอบแทนผู้ปฏิบัติฯ</t>
  </si>
  <si>
    <t>ค่าเบี้ยประชุม</t>
  </si>
  <si>
    <t>ค่าตอบแทนนอกเวลาฯ</t>
  </si>
  <si>
    <t>ค่าเช่าบ้าน</t>
  </si>
  <si>
    <t>เงินช่วยการศึกษาบุตร</t>
  </si>
  <si>
    <t>เงินช่วยค่ารักษาพยาบาล</t>
  </si>
  <si>
    <t>รายจ่ายให้ได้มาซึ่งบริการ</t>
  </si>
  <si>
    <t>ค่ารับรอง</t>
  </si>
  <si>
    <t>รายจ่ายไม่เข้าลักษณะฯ</t>
  </si>
  <si>
    <t>ค่าบำรุงรักษาและซ่อมแซม</t>
  </si>
  <si>
    <t>วัสดุสำนักงาน</t>
  </si>
  <si>
    <t>วัสดุไฟฟ้าวิทยุ</t>
  </si>
  <si>
    <t>วัสดุก่อสร้าง</t>
  </si>
  <si>
    <t>วัสดุเชื้อเพลิง</t>
  </si>
  <si>
    <t>วัสดุคอมพิวเตอร์</t>
  </si>
  <si>
    <t>วัสดุวิทยาศาสตร์</t>
  </si>
  <si>
    <t>วัสดุเครื่องแต่งกาย</t>
  </si>
  <si>
    <t>วัสดุกีฬา</t>
  </si>
  <si>
    <t>วัสดุการศึกษา</t>
  </si>
  <si>
    <t>วัสดุอื่น</t>
  </si>
  <si>
    <t>ไฟฟ้า</t>
  </si>
  <si>
    <t>โทรศัพท์</t>
  </si>
  <si>
    <t>ไปรษณีย์</t>
  </si>
  <si>
    <t>โทรคมนาคม</t>
  </si>
  <si>
    <t>ครุภัณฑ์สำนักงาน</t>
  </si>
  <si>
    <t>ครุภัณฑ์ยานพาหนะและขนส่ง</t>
  </si>
  <si>
    <t>ครุภัณฑ์โฆษณาและเผยแพร่</t>
  </si>
  <si>
    <t>ค่าบำรุงรักษาครุภัณฑ์</t>
  </si>
  <si>
    <t>ส่วนราชการ</t>
  </si>
  <si>
    <t>ปลัดเทศบาลตำบลเขาพระ</t>
  </si>
  <si>
    <t>510000 งบกลาง</t>
  </si>
  <si>
    <t>521000 เงินเดือนฝ่ายการเมือง</t>
  </si>
  <si>
    <t>522000 เงินเดือนฝ่ายประจำ</t>
  </si>
  <si>
    <t>530100 ค่าตอบแทน</t>
  </si>
  <si>
    <t>53200 ค่าใช้สอย</t>
  </si>
  <si>
    <t>53300 ค่าวัสดุ</t>
  </si>
  <si>
    <t>ค่าอาหารเสริม(นม)</t>
  </si>
  <si>
    <t>534000 ค่าสาธารณูปโภค</t>
  </si>
  <si>
    <t>541000 ค่าครุภัณฑ์</t>
  </si>
  <si>
    <t>542000 ค่าที่ดินและสิ่งก่อสร้าง</t>
  </si>
  <si>
    <t>560000 เงินอุดหนุน</t>
  </si>
  <si>
    <t>กิจการสาธารณะประโยชน์</t>
  </si>
  <si>
    <t>อปท</t>
  </si>
  <si>
    <t>ค่าบำรุงรักษาฯ</t>
  </si>
  <si>
    <t>550000 รายจ่ายอื่น</t>
  </si>
  <si>
    <t>ค่าจ้างที่ปรึกษาฯ</t>
  </si>
  <si>
    <t>00330</t>
  </si>
  <si>
    <t>00332</t>
  </si>
  <si>
    <t>รายจ่ายนอกงบประมาณ (จ่ายจากเงินสะสม)</t>
  </si>
  <si>
    <t>ภาษีมูลค่าเพิ่ม พรบ.กำหนดแผนฯ</t>
  </si>
  <si>
    <t>00123</t>
  </si>
  <si>
    <t>เงินเกินบัญชี</t>
  </si>
  <si>
    <t>00264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</si>
  <si>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</si>
  <si>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</si>
  <si>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</si>
  <si>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</si>
  <si>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ค่าตอบแทนใช้สอยและวัสดุ</t>
  </si>
  <si>
    <t>หมวดที่จ่าย</t>
  </si>
  <si>
    <t>เงินรับฝาก (หมายเหตุ 2)</t>
  </si>
  <si>
    <t>บัญชีรายจ่ายค้างจ่าย (หมายเหตุ 3)</t>
  </si>
  <si>
    <t>สปสช (ข้อผูกพัน)</t>
  </si>
  <si>
    <t>ปิดบัญชี</t>
  </si>
  <si>
    <t>ออมสิน ประจำ</t>
  </si>
  <si>
    <t xml:space="preserve">เงินฝาก กรุงไทย </t>
  </si>
  <si>
    <t>(ออมทรัพย์) เลขที่บัญชี 835-0-00451-9</t>
  </si>
  <si>
    <t xml:space="preserve">เงินฝาก ธ.ก.ส. </t>
  </si>
  <si>
    <t>(ออมทรัพย์) เลขที่บัญชี 815-2-37037-4</t>
  </si>
  <si>
    <t>(ออมทรัพย์) เลขที่บัญชี 815-2-50915-1</t>
  </si>
  <si>
    <t>ค่าวัสดุ (อุดหนุน)</t>
  </si>
  <si>
    <t>สาขาจันดี 300003690629</t>
  </si>
  <si>
    <t>รับชำระลูกหนี้ค่าน้ำประปา</t>
  </si>
  <si>
    <t>ครุภัณฑ์การศึกษา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</si>
  <si>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</si>
  <si>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</si>
  <si>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</si>
  <si>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ครุภัณฑ์วิทยาศาสตร์</t>
  </si>
  <si>
    <t>ครุภัณฑ์คอมพิวเตอร์</t>
  </si>
  <si>
    <t>เงินปันผลสหกรณ์</t>
  </si>
  <si>
    <t>ค่าตอบแทน /เงินปันผลสหกรณ์</t>
  </si>
  <si>
    <t>เบี้ยยังชีพผู้สูงอายุ</t>
  </si>
  <si>
    <t>ค่าธรรมเนียม ค่าปรับและใบอนุญาต</t>
  </si>
  <si>
    <t>บัญชีเงินทุนสำรองสะสม</t>
  </si>
  <si>
    <t>รับคืนเบี้ยยังชีพผู้สูงอายุ</t>
  </si>
  <si>
    <t>รายจ่าย:-</t>
  </si>
  <si>
    <t>เงินประกันสัญญา/ประกันซอง</t>
  </si>
  <si>
    <t>รับชำระลูกหนี้ภาษีบำรุงท้องที่</t>
  </si>
  <si>
    <t>รับคืนลูกหนี้เงินยืมเงินสะสม (เบี้ยยังชีพผู้สูงอายุ)</t>
  </si>
  <si>
    <t>วัสดุงานบ้านงานครัว</t>
  </si>
  <si>
    <t>(นายชวลิต  สิทธิฤทธิ์)</t>
  </si>
  <si>
    <t>(นายวสันต์   ไทรแก้ว)</t>
  </si>
  <si>
    <t>รับคืนลูกหนี้เงินยืมเงินงบประมาณ</t>
  </si>
  <si>
    <t>รับคืนลูกหนี้เงินยืมเงินสะสม (เบี้ยยังชีพผู้พิการ)</t>
  </si>
  <si>
    <t>เงินปันผลสหกรณ์/ค่าตอนแทน</t>
  </si>
  <si>
    <t>บำรุงสันนิบาตเทศบาล</t>
  </si>
  <si>
    <t>รับคืนเงินเพิ่มค่าครองชีพ</t>
  </si>
  <si>
    <t>00244</t>
  </si>
  <si>
    <t>ลูกหนี้เงินยืมเงินนอกงบประมาณ</t>
  </si>
  <si>
    <t>จ่ายเงินลูกหนี้เงินยืมเงินนอกงบประมาณ</t>
  </si>
  <si>
    <t>ค่าธรรมเนียมออกหนังสือรับรองการแจ้งสถานที่จำหน่ายอาหาร</t>
  </si>
  <si>
    <t>ค่าตอบแทน (อุดหนุนสวัสดิการครู)</t>
  </si>
  <si>
    <t>ค่าใบอนุญาตกิจการค้าสำหรับกิจการที่เป็นอันตรายต่อสุขภาพ</t>
  </si>
  <si>
    <r>
      <t>เงินรับฝาก</t>
    </r>
    <r>
      <rPr>
        <b/>
        <sz val="14"/>
        <rFont val="TH SarabunPSK"/>
        <family val="2"/>
      </rPr>
      <t xml:space="preserve">   (หมายเหตุ 2)</t>
    </r>
  </si>
  <si>
    <r>
      <t>รายจ่ายค้างจ่าย</t>
    </r>
    <r>
      <rPr>
        <b/>
        <sz val="14"/>
        <rFont val="TH SarabunPSK"/>
        <family val="2"/>
      </rPr>
      <t xml:space="preserve">    (หมายเหตุ 3)</t>
    </r>
  </si>
  <si>
    <t>+</t>
  </si>
  <si>
    <t>รับคืนเงินลูกหนี้เงินยืมเงินงบประมาณ</t>
  </si>
  <si>
    <t>ทุนการศึกษา</t>
  </si>
  <si>
    <t>ค่าใช้สอย(อุดหนุนเฉพาะกิจโครงการป้องกันและแก้ไขปัญหายาเสพติด</t>
  </si>
  <si>
    <t>ประกันสังคม</t>
  </si>
  <si>
    <t>ครุภัณฑ์งานบ้านงานครัว</t>
  </si>
  <si>
    <t>ส่งคืนคลังจังหวัด เบี้ยยังชีพผู้สูงอายุ</t>
  </si>
  <si>
    <t>เงินฝากเกินบัญชี</t>
  </si>
  <si>
    <t>ค่าครุภัณฑ์คอมฯ (อุดหนุนเฉพาะกิจ)</t>
  </si>
  <si>
    <t>ค่าธรรมเนียมเก็บและขนขยะมูลฝอย</t>
  </si>
  <si>
    <t>ค่าธรรมเนียมจดทะเบียนพาณิชย์</t>
  </si>
  <si>
    <t>ค่าใบอนุญาตจัดตั้งสถานที่จำหน่ายอาหารซึ่งมีพื่นที่เกิน 200 ตร.ม.</t>
  </si>
  <si>
    <t>ค่าใบอนุญาตจัดตั้งตลาดเอกชน</t>
  </si>
  <si>
    <t>ค่าธรรมเนียมโฆษณาใช้เครื่องขยายเสียง</t>
  </si>
  <si>
    <t>(นายชวลิต สิทธิฤทธิ์)</t>
  </si>
  <si>
    <t>(3) เงินประกันสังคม 5%</t>
  </si>
  <si>
    <t>(2) รายได้เบ็ดเตล็ดอื่น</t>
  </si>
  <si>
    <t>(1) เงินอุดหนุนตามอำนาจหน้าที่และภารกิจถ่ายโอนเลือกทำ</t>
  </si>
  <si>
    <t>(4) ค่าจ้างชั่วคราว ผดด.</t>
  </si>
  <si>
    <t>อุดหนุนเฉพาะกิจ</t>
  </si>
  <si>
    <t>ปีงบประมาณ 2557</t>
  </si>
  <si>
    <t>รับคืนเบิกเกินส่งคืน</t>
  </si>
  <si>
    <t>เทศบาลตำบลเขาพระ อำเภอพิปูน จังหวัดนครศรีธรรมราช</t>
  </si>
  <si>
    <t>เงินฝาก ก.ส.ท.</t>
  </si>
  <si>
    <t>เงินเดือน ศพด.</t>
  </si>
  <si>
    <t>ค่าจ้าง ศพด.</t>
  </si>
  <si>
    <t>ประกันสังคม ศพด.</t>
  </si>
  <si>
    <t>ค่าตอบแทน ศพด.</t>
  </si>
  <si>
    <t>(นางชุติมา  ลอยประเสริฐ)</t>
  </si>
  <si>
    <t>ครุภัณฑ์เครื่องดับเพลิง</t>
  </si>
  <si>
    <t>รับคืนเงินเดือน</t>
  </si>
  <si>
    <t>ค่ารักษาพยาบาล</t>
  </si>
  <si>
    <t>เงินปันผล/ค่าตอบแทน จนท.สหกรณ์</t>
  </si>
  <si>
    <t>(1) ค่าธรรมเนียมเกี่ยวกับใบอนุญาตการขายสุรา</t>
  </si>
  <si>
    <t>(2) ค่าธรรมเนียมเก็บและขนขยะมูลฝอย</t>
  </si>
  <si>
    <t>(3) ค่าธรรมเนียมในการออกหนังสือรับรองการแจ้งสถานที่จำหน่ายอาหาร</t>
  </si>
  <si>
    <t>(4) ค่าธรรมเนียมเกี่ยวกับทะเบียนราษฎร</t>
  </si>
  <si>
    <t>(5) ค่าธรรมเนียมจดทะเบียนพาณิชย์</t>
  </si>
  <si>
    <t>(6) ค่าธรรมเนียมขอใช้น้ำประปา</t>
  </si>
  <si>
    <t>(7) ค่าปรับผู้กระทำผิดกฎหมายจราจรทางบก</t>
  </si>
  <si>
    <t>(8) ค่าปรับผิดสัญญา</t>
  </si>
  <si>
    <t>(9) ค่าใบอนุญาตกิจการค้าเป็นอันตรายต่อสุขภาพ</t>
  </si>
  <si>
    <t>(10) ค่าใบอนุญาตจัดตั้งสถานที่จำหน่ายอาหารซึ่งมีพื้นที่เกิน 200 ตร.ม.</t>
  </si>
  <si>
    <t>(11) ค่าใบอนุญาตจัดตั้งตลาดเอกชน</t>
  </si>
  <si>
    <t>ณ วันที่ 31 มีนาคม 2557</t>
  </si>
  <si>
    <t>ลงชื่อ................................................</t>
  </si>
  <si>
    <t>ส่งคืนคลัง (เบี้ยยังชีพผู้สูงอายุ)</t>
  </si>
  <si>
    <t>ส่งคืนคลัง (เบี้ยยังชีพผู้พิการ)</t>
  </si>
  <si>
    <t>เอกชน</t>
  </si>
  <si>
    <t>หมวดค่าใช้สอย</t>
  </si>
  <si>
    <t>รับคืนเงินลูกหนี้เงินยืมเงินนอกงบประมาณ</t>
  </si>
  <si>
    <t>รับคืนลูกหนี้เงินยืมเงินนอกงบประมาณ</t>
  </si>
  <si>
    <t>ส่งคืนคลังจังหวัด เบี้ยยังชีพผู้พิการ</t>
  </si>
  <si>
    <t>แบบแสดงฐานะการคลัง</t>
  </si>
  <si>
    <t>ฐานะการคลัง</t>
  </si>
  <si>
    <t>ปีงบประมาณ</t>
  </si>
  <si>
    <t>รายรับตามงบประมาณ</t>
  </si>
  <si>
    <t>รัฐบาลจัดสรรให้</t>
  </si>
  <si>
    <t>รายรับนอกงบประมาณ</t>
  </si>
  <si>
    <t>เงินอุดหนุนเฉพาะกิจ/เงินอุดหนุนระบุวัตถุประสงค์</t>
  </si>
  <si>
    <t>รวมรับทั้งสิ้น</t>
  </si>
  <si>
    <t>รายจ่ายตามงบประมาณ</t>
  </si>
  <si>
    <t>เงินเดือน</t>
  </si>
  <si>
    <t>รายจ่ายนอกงบประมาณ</t>
  </si>
  <si>
    <t>รวมจ่ายทั้งสิ้น</t>
  </si>
  <si>
    <t xml:space="preserve">เงินฝากธนาคาร 30 กันยายน </t>
  </si>
  <si>
    <t>ลงชื่อ...................................................ปลัดเทศบาล</t>
  </si>
  <si>
    <t>กู้เพื่อก่อสร้างถนน,จัดซื้อครุภัณฑ์ยานพาหนะและขนส่งและครุภัณฑ์ก่อสร้าง</t>
  </si>
  <si>
    <t>โครงการสร้างพลังเยาวชนไทย ร่วมใจพัฒนาชาติ ปี 2557</t>
  </si>
  <si>
    <t>หมวดงบกลาง</t>
  </si>
  <si>
    <t>คืนคลัง</t>
  </si>
  <si>
    <t>เดือน พฤษภาคม 2557</t>
  </si>
  <si>
    <t>หมวดเงินเดือน</t>
  </si>
  <si>
    <t>หมวดค่าตอบแทน</t>
  </si>
  <si>
    <t>หมวดค่าวัสดุ</t>
  </si>
  <si>
    <t>เดือน เมษายน 2557</t>
  </si>
  <si>
    <t>เดือน พฤศจิกายน 2556</t>
  </si>
  <si>
    <t>เดือน ธันวาคม 2556</t>
  </si>
  <si>
    <t>รับคืนกองคลัง</t>
  </si>
  <si>
    <t>ส่งคืนคลังจ.</t>
  </si>
  <si>
    <t>เดือน มกราคม 2557</t>
  </si>
  <si>
    <t>เดือน กุมภาพันธ์ 2557</t>
  </si>
  <si>
    <t>เดือน มีนาคม 2557</t>
  </si>
  <si>
    <t>เงินเดือนครู ศพด.</t>
  </si>
  <si>
    <t>ค่าจ้างชั่วคราว ผดด.</t>
  </si>
  <si>
    <t>ค่ารักษาพยาบาล  ครู ศพด.</t>
  </si>
  <si>
    <t>เงินช่วยเหลือการศึกษาบุตร ครูศพด.</t>
  </si>
  <si>
    <t>เดือน มิถุนายน 2557</t>
  </si>
  <si>
    <t>เดือน กรกฎาคม 2557</t>
  </si>
  <si>
    <t>เดือน สิงหาคม 2557</t>
  </si>
  <si>
    <t>เดือน กันยายน 2557</t>
  </si>
  <si>
    <t>รวมรับ</t>
  </si>
  <si>
    <t>รวมจ่าย</t>
  </si>
  <si>
    <t>รวมคืนคลังจ.</t>
  </si>
  <si>
    <t>หัวหน้าฝ่ายบริหารงานคลัง รักษาราชการแทน</t>
  </si>
  <si>
    <t>ผู้อำนวยการกองคลัง</t>
  </si>
  <si>
    <t>ลงชื่อ........................................................</t>
  </si>
  <si>
    <t>เงินฝาก กรุงไทย   (ออมทรัพย์) เลขที่บัญชี 835-0-00451-9</t>
  </si>
  <si>
    <t>เงินฝาก ธ.ก.ส.    (ออมทรัพย์) เลขที่บัญชี 815-2-37037-4</t>
  </si>
  <si>
    <t>เงินฝาก ธ.ก.ส.    (ออมทรัพย์) เลขที่บัญชี 815-2-50915-1</t>
  </si>
  <si>
    <t xml:space="preserve">          (นางชุติมา   ลอยประเสริฐ)</t>
  </si>
  <si>
    <t>ลงชื่อ............................................................</t>
  </si>
  <si>
    <t xml:space="preserve">               ผู้อำนวยการกองคลัง</t>
  </si>
  <si>
    <t>รับคืนเบี้ยยังชีพผู้พิการ</t>
  </si>
  <si>
    <t>รับคืนเบี้ยยังชีพผู้ป่วยเอดส์</t>
  </si>
  <si>
    <t>ณ วันที่ 31 กรกฎาคม 2557</t>
  </si>
  <si>
    <t>ณ วันที่ 31 สิงหาคม 2557</t>
  </si>
  <si>
    <t>ครุภัณฑ์โรงงาน</t>
  </si>
  <si>
    <t>ครุภัณฑ์สำรวจ</t>
  </si>
  <si>
    <t>ค่าบำรุงสันนิบาตเทศบาลแห่งประเทศไทย</t>
  </si>
  <si>
    <t>รับคืนคลัง</t>
  </si>
  <si>
    <t>คืนคลังจ.</t>
  </si>
  <si>
    <t>เงินอุดหนุนเฉพาะกิจ ปีงบประมาณ 2557</t>
  </si>
  <si>
    <t>อุดหนุน (อุดหนุนโครงการป้องกันและแก้ไขปัญหายาเสพติด)</t>
  </si>
  <si>
    <t>ค่าจัดการเรียนการสอน วัสดุการศึกษา ศูนย์เด็ก</t>
  </si>
  <si>
    <t>ณ วันที่ 30 กันยายน 2557</t>
  </si>
  <si>
    <t>งบทดลองก่อนปิดบัญชี</t>
  </si>
  <si>
    <t>งบทดลองหลังปิดบัญชี</t>
  </si>
  <si>
    <t>รับคืนค่าใช้จ่ายในการเดินทางไปราชการ</t>
  </si>
  <si>
    <t>ค่าตอบแทนแพทย์ระบบฉุกเฉิน(EMS)</t>
  </si>
  <si>
    <t>วัสดุการเกษตร</t>
  </si>
  <si>
    <t>ยกมา 1 ต.ค.57</t>
  </si>
  <si>
    <t>ค่าจ้าง ครูผดด.</t>
  </si>
  <si>
    <t>เงินเดือนครู ผดด.</t>
  </si>
  <si>
    <t>ณ วันที่ 31 ตุลาคม 2557</t>
  </si>
  <si>
    <t>วันที่ 31 ตุลาคม 2557</t>
  </si>
  <si>
    <t>ประจำเดือน ตุลาคม 2557</t>
  </si>
  <si>
    <t>เพียงวันที่  31 ตุลาคม 2557</t>
  </si>
  <si>
    <t>ตุลาคม 2557</t>
  </si>
  <si>
    <t>00251</t>
  </si>
  <si>
    <t xml:space="preserve"> งบ ต.ค.2557</t>
  </si>
  <si>
    <t>รับคืนลูกหนี้เงินยืมเงินสะสม</t>
  </si>
  <si>
    <t>รับคืนเงินลูกหนี้เงินยืมเงินสะสม</t>
  </si>
  <si>
    <t>พฤศจิกายน 2557</t>
  </si>
  <si>
    <t>รับจ่าย พ.ย.2557</t>
  </si>
  <si>
    <t xml:space="preserve"> งบ พ.ย.2557</t>
  </si>
  <si>
    <t>รับจ่าย ธ.ค.2557</t>
  </si>
  <si>
    <t>ณ วันที่ 30 พฤศจิกายน 2557</t>
  </si>
  <si>
    <t>ณ วันที่ 31 มกราคม 2558</t>
  </si>
  <si>
    <t>วันที่ 30 พฤศจิกายน 2557</t>
  </si>
  <si>
    <t>ประจำเดือน พฤศจิกายน 2557</t>
  </si>
  <si>
    <t>งบกลาง (อุดหนุนทั่วไปกำหนดวัตถุประสงค์)</t>
  </si>
  <si>
    <t>หมวดเงินอุดหนุนทั่วไปกำหนดวัตถุประสงค์</t>
  </si>
  <si>
    <t>สนับสนุนยุทธศาสตร์การพัฒนาประเทศ</t>
  </si>
  <si>
    <t>การสงเคราะห์เบี้ยยังชีพผู้สูงอายุ</t>
  </si>
  <si>
    <t>การสงเคราะห์เบี้ยยังชีพคนพิการ</t>
  </si>
  <si>
    <t>จ่ายจากเงินอุดหนุนทั่วไปกำหนดวัตถุประสงค์</t>
  </si>
  <si>
    <t>เพียงวันที่  30 พฤศจิกายน 2557</t>
  </si>
  <si>
    <t>จ่ายเงินอุดหนุนทั่วไปกำหนดวัตถุประสงค์</t>
  </si>
  <si>
    <t>รับเงินอุดหนุนทั่วไปกำหนดวัตถุประสงค์</t>
  </si>
  <si>
    <t>เงินอุดหนุนทั่วไปกำหนดวัตถุประสงค์</t>
  </si>
  <si>
    <t>อุดหนุนทั่วไปกำหนดวัตถุประสงค์</t>
  </si>
  <si>
    <t>วัสดุยานพาหนะและขนส่ง</t>
  </si>
  <si>
    <t>(4) เงินเดือน ครู ผดด.</t>
  </si>
  <si>
    <t>(5) ค่าจ้างชั่วคราว ผดด.</t>
  </si>
  <si>
    <t>(6) ค่าจัดการเรียนการสอน วัสดุการศึกษา ศพด.</t>
  </si>
  <si>
    <t>(7) สนับสนุนยุทธศาสตร์การพัฒนาประเทศ</t>
  </si>
  <si>
    <t xml:space="preserve"> งบ ธ.ค.2557</t>
  </si>
  <si>
    <t>รับจ่าย ม.ค.2558</t>
  </si>
  <si>
    <t xml:space="preserve"> งบเดือน มกราคม 2558</t>
  </si>
  <si>
    <t>รับจ่าย ก.พ.2558</t>
  </si>
  <si>
    <t xml:space="preserve"> งบ ก.พ.2558</t>
  </si>
  <si>
    <t>รับ-จ่าย มี.ค.2558</t>
  </si>
  <si>
    <t xml:space="preserve"> งบ มี.ค.2558</t>
  </si>
  <si>
    <t>รับจ่าย เม.ย.2558</t>
  </si>
  <si>
    <t xml:space="preserve"> งบ เม.ย.2558</t>
  </si>
  <si>
    <t>รับจ่าย พ.ค.2558</t>
  </si>
  <si>
    <t xml:space="preserve"> งบ พ.ค.2558</t>
  </si>
  <si>
    <t>รับจ่าย มิ.ย.2558</t>
  </si>
  <si>
    <t xml:space="preserve"> งบ มิ.ย.2558</t>
  </si>
  <si>
    <t>รับจ่าย ก.ค.2558</t>
  </si>
  <si>
    <t>งบทดลอง ก.ค.2558</t>
  </si>
  <si>
    <t>รับจ่าย ส.ค.2558</t>
  </si>
  <si>
    <t xml:space="preserve"> งบเดือน ส.ค.2558</t>
  </si>
  <si>
    <t>รับจ่าย ก.ย.2558</t>
  </si>
  <si>
    <t xml:space="preserve"> งบทดลองก่อนปิดบัญชี ก.ย.2558</t>
  </si>
  <si>
    <t>งบทดลองหลังปิดบัญชี ก.ย.2558</t>
  </si>
  <si>
    <t>ณ วันที่  28  กุมภาพันธ์ 2558</t>
  </si>
  <si>
    <t>วันที่ 31 ธันวาคม 2557</t>
  </si>
  <si>
    <t>(1) การสงเคราะห์เบี้ยยังชีพผู้สูงอายุ</t>
  </si>
  <si>
    <t>(2) การสงเคราะห์เบี้ยคนพิการ</t>
  </si>
  <si>
    <t>ประจำเดือน ธันวาคม 2557</t>
  </si>
  <si>
    <t>เพียงวันที่  31 ธันวาคม 2557</t>
  </si>
  <si>
    <t>ธันวาคม 2557</t>
  </si>
  <si>
    <t>ณ วันที่ 31 ธันวาคม 2557</t>
  </si>
  <si>
    <t>วันที่ 31 มกราคม 2558</t>
  </si>
  <si>
    <t>ประจำเดือน มกราคม 2558</t>
  </si>
  <si>
    <t>เพียงวันที่  31 มกราคม 2558</t>
  </si>
  <si>
    <t>มกราคม 2558</t>
  </si>
  <si>
    <t>ปีงบประมาณ 2558</t>
  </si>
  <si>
    <t>สำรองไว้รายจ่ายประจำ</t>
  </si>
  <si>
    <t>เครื่องดูดฝุ่น</t>
  </si>
  <si>
    <t>จักรยานยนต์</t>
  </si>
  <si>
    <t>จีพีเอส</t>
  </si>
  <si>
    <t>นมยังไม่เบิกจ่าย</t>
  </si>
  <si>
    <t>ส่งเสริมศักยภาพการศึกษาท้องถิ่น</t>
  </si>
  <si>
    <t>สาธารณสุข</t>
  </si>
  <si>
    <t>สาธารณูปโภค</t>
  </si>
  <si>
    <t>น้ำมัน</t>
  </si>
  <si>
    <t>ตู้เอกสาร /คลัง</t>
  </si>
  <si>
    <t>คงเหลือประมาณ</t>
  </si>
  <si>
    <t>อาคารสำนักงาน</t>
  </si>
  <si>
    <t>ขุดลอกคู</t>
  </si>
  <si>
    <t>อาหารกลางวัน/ยังไม่โอน</t>
  </si>
  <si>
    <t>รวมรายจ่ายประจำ</t>
  </si>
  <si>
    <t>โครงการป้องกันและแก้ไขปัญหายาเสพติด</t>
  </si>
  <si>
    <t>(1) ทุนการศึกษา</t>
  </si>
  <si>
    <t>(8) โครงการป้องกันและแก้ไขปัญหายาเสพติด</t>
  </si>
  <si>
    <t>วันที่ 28 กุมภาพันธ์ 2558</t>
  </si>
  <si>
    <t>ประจำเดือน กุมภาพันธ์ 2558</t>
  </si>
  <si>
    <t>เพียงวันที่  28 กุมภาพันธ์ 2558</t>
  </si>
  <si>
    <t>กุมภาพันธ์ 2558</t>
  </si>
  <si>
    <t>งบประมาณตามเทศฯ กุมภาพันธ์ 2558</t>
  </si>
  <si>
    <t>มี.ค.เบิกจ่ายไปแล้ว</t>
  </si>
  <si>
    <t>ประมาณรายจ่าย มี.ค.</t>
  </si>
  <si>
    <t>โน้ตบุ้คกองช่าง</t>
  </si>
  <si>
    <t>บุคลากร</t>
  </si>
  <si>
    <t>ดำเนินงาน</t>
  </si>
  <si>
    <t>ลงทุน(ครุภัณฑ์)</t>
  </si>
  <si>
    <t>ลงทุน(ที่ดินและสิ่งก่อสร้าง)</t>
  </si>
  <si>
    <t>ประจำเดือน มีนาคม 2558</t>
  </si>
  <si>
    <t>โครงการอปท.เร่งด่วนปี 57</t>
  </si>
  <si>
    <t>โครงการก่อสร้างระบบประปาบาดาลปี 58</t>
  </si>
  <si>
    <t>ค่าที่ดินและสิ่งก่อสร้าง (อุดหนุนเฉพาะกิจ)</t>
  </si>
  <si>
    <t>ค่าที่ดินและสิ่งก่อสร้าง (อุดหนุนทั่วไปเพื่อสนับสนุนอปท.ตามยุทธศาสตร์การพัฒนาประเทศ)</t>
  </si>
  <si>
    <t>วันที่ 31 มีนาคม 2558</t>
  </si>
  <si>
    <t>(3) โครงการก่อสร้างระบบประปาบาดาลปี 58</t>
  </si>
  <si>
    <t>(2) โครงการ อปท.เร่งด่วน ปี57</t>
  </si>
  <si>
    <t>เพียงวันที่  31 มีนาคม 2558</t>
  </si>
  <si>
    <t>มีนาคม 2558</t>
  </si>
  <si>
    <t>ประจำเดือน เมษายน 2558</t>
  </si>
  <si>
    <t>เจ้าหนี้เงินกู้-กสท.</t>
  </si>
  <si>
    <t>ครุภัณฑ์ (เงินกู้-กสท.)</t>
  </si>
  <si>
    <t>บัญชีเจ้าหนี้เงินกู้- กสท.</t>
  </si>
  <si>
    <t>ลูกหนี้เงินทุนโครงการเศรษฐกิจชุมชน</t>
  </si>
  <si>
    <t>ณ วันที่ 30 เมษายน 2558</t>
  </si>
  <si>
    <t>วันที่ 30 เมษายน 2558</t>
  </si>
  <si>
    <t>เพียงวันที่  30 เมษายน 2558</t>
  </si>
  <si>
    <t>จ่ายจากเงินกู้-กสท.</t>
  </si>
  <si>
    <t>รับเงินกู้-กสท.</t>
  </si>
  <si>
    <t>เมษายน 2558</t>
  </si>
  <si>
    <t>เงินกู้-กสท.</t>
  </si>
  <si>
    <t>เงินกู้-กสท</t>
  </si>
  <si>
    <t>(นายวัชรินทร์  จงจิตร)</t>
  </si>
  <si>
    <t>รองปลัดเทศบาล รักษาราชการแทน</t>
  </si>
  <si>
    <t>(นายวัชรินทร์   จงจิตร)</t>
  </si>
  <si>
    <t>ปลัดเทศบาลตำบลเชาพระ</t>
  </si>
  <si>
    <t xml:space="preserve">ค่าใช้สอย </t>
  </si>
  <si>
    <t>ค่าที่ดินและสิ่งก่อสร้าง (เงินกู้-กสท)</t>
  </si>
  <si>
    <t>ณ วันที่ 31 พฤษภาคม 2558</t>
  </si>
  <si>
    <t>ปลัดเทศบาล รักษาราชการแทน</t>
  </si>
  <si>
    <t>หมายเหตุประกอบงบทดลอง</t>
  </si>
  <si>
    <t>ค่าที่ดินและสิ่งก่อสร้าง  จ่ายจากเงินอุดหนุนระบุวัตถุประสงค์</t>
  </si>
  <si>
    <t>โครงการ</t>
  </si>
  <si>
    <t>ค่าที่ดินและสิ่งก่อสร้าง  จ่ายจากเงินกู้ กสท.</t>
  </si>
  <si>
    <t>ค่าที่ดินและสิ่งก่อสร้าง  จ่ายจากเงินรายรับ</t>
  </si>
  <si>
    <t>โครงการค่าวัสดุก่อสร้างถนนคอนกรีตเสริมเหล็กสายคลองฉลอง ม.6</t>
  </si>
  <si>
    <t>จำนวน</t>
  </si>
  <si>
    <t xml:space="preserve">โครงการจ้างเหมาแรงงานก่อสร้างถนนคอนกรีตเสริมเหล็กสายคลองฉลอง ม.6 </t>
  </si>
  <si>
    <t>โครงการค่าวัสดุก่อสร้างถนนคอนกรีตเสริมเหล็กสายคลองฉลอง ม.1</t>
  </si>
  <si>
    <t>โครงการจ้างเหมาแรงงานก่อสร้างถนนคอนกรีตเสริมเหล็กสายคลองฉลอง ม.1</t>
  </si>
  <si>
    <t>โครงการค่าวัสดุก่อสร้างถนนคอนกรีตเสริมเหล็กสาย 4189 หมู่ที่ 5</t>
  </si>
  <si>
    <t>โครงการจ้างเหมาแรงงานก่อสร้างถนนคอนกรีตเสริมเหล็กสาย 4189 หมู่ที่ 5</t>
  </si>
  <si>
    <t>โครงการเป่าล้างบ่อบาดาล</t>
  </si>
  <si>
    <t>ค่าครุภัณฑ์  จ่ายจากเงินรายรับ</t>
  </si>
  <si>
    <t>ค่าครุภัณฑ์  จ่ายจากเงินกู้ กสท.</t>
  </si>
  <si>
    <t>รถยนต์ตรวจการณ์</t>
  </si>
  <si>
    <t>รถจักรยานยนต์ จำนวน 2 คัน</t>
  </si>
  <si>
    <t>วันที่ 31 พฤษภาคม 2558</t>
  </si>
  <si>
    <t>ประจำเดือน พฤษภาคม 2558</t>
  </si>
  <si>
    <t>เพียงวันที่ 31 พฤษภาคม 2558</t>
  </si>
  <si>
    <t>พฤษภาคม 2558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</si>
</sst>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"/>
    <numFmt numFmtId="188" formatCode="_-* #,##0_-;\-* #,##0_-;_-* &quot;-&quot;??_-;_-@_-"/>
  </numFmts>
  <fonts count="61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b/>
      <sz val="12"/>
      <color indexed="10"/>
      <name val="TH SarabunPSK"/>
      <family val="2"/>
    </font>
    <font>
      <sz val="16"/>
      <color indexed="10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3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/>
      <top/>
      <bottom style="hair"/>
    </border>
    <border>
      <left/>
      <right/>
      <top/>
      <bottom style="double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36" applyFont="1" applyAlignment="1">
      <alignment/>
    </xf>
    <xf numFmtId="0" fontId="3" fillId="0" borderId="0" xfId="0" applyFont="1" applyAlignment="1">
      <alignment/>
    </xf>
    <xf numFmtId="43" fontId="3" fillId="0" borderId="10" xfId="36" applyFont="1" applyBorder="1" applyAlignment="1">
      <alignment/>
    </xf>
    <xf numFmtId="0" fontId="6" fillId="0" borderId="0" xfId="0" applyFont="1" applyAlignment="1">
      <alignment/>
    </xf>
    <xf numFmtId="43" fontId="6" fillId="0" borderId="0" xfId="36" applyFont="1" applyAlignment="1">
      <alignment/>
    </xf>
    <xf numFmtId="43" fontId="7" fillId="0" borderId="11" xfId="36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43" fontId="7" fillId="0" borderId="11" xfId="36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3" fontId="6" fillId="0" borderId="11" xfId="36" applyFont="1" applyBorder="1" applyAlignment="1">
      <alignment/>
    </xf>
    <xf numFmtId="0" fontId="6" fillId="0" borderId="12" xfId="0" applyFont="1" applyBorder="1" applyAlignment="1">
      <alignment/>
    </xf>
    <xf numFmtId="43" fontId="6" fillId="0" borderId="15" xfId="36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3" fontId="6" fillId="0" borderId="18" xfId="36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4" fillId="0" borderId="11" xfId="36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3" fontId="3" fillId="0" borderId="11" xfId="36" applyFont="1" applyBorder="1" applyAlignment="1">
      <alignment/>
    </xf>
    <xf numFmtId="43" fontId="7" fillId="0" borderId="11" xfId="36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43" fontId="6" fillId="0" borderId="0" xfId="36" applyNumberFormat="1" applyFont="1" applyAlignment="1">
      <alignment/>
    </xf>
    <xf numFmtId="0" fontId="7" fillId="0" borderId="22" xfId="0" applyFont="1" applyBorder="1" applyAlignment="1">
      <alignment/>
    </xf>
    <xf numFmtId="43" fontId="6" fillId="0" borderId="23" xfId="36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43" fontId="6" fillId="0" borderId="26" xfId="36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43" fontId="6" fillId="0" borderId="29" xfId="36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43" fontId="6" fillId="0" borderId="32" xfId="36" applyFont="1" applyBorder="1" applyAlignment="1">
      <alignment/>
    </xf>
    <xf numFmtId="0" fontId="7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7" fillId="0" borderId="12" xfId="0" applyFont="1" applyBorder="1" applyAlignment="1">
      <alignment/>
    </xf>
    <xf numFmtId="43" fontId="7" fillId="0" borderId="11" xfId="36" applyFont="1" applyFill="1" applyBorder="1" applyAlignment="1">
      <alignment/>
    </xf>
    <xf numFmtId="0" fontId="9" fillId="0" borderId="0" xfId="0" applyFont="1" applyAlignment="1">
      <alignment/>
    </xf>
    <xf numFmtId="43" fontId="9" fillId="0" borderId="11" xfId="36" applyFont="1" applyBorder="1" applyAlignment="1">
      <alignment/>
    </xf>
    <xf numFmtId="0" fontId="9" fillId="0" borderId="26" xfId="0" applyFont="1" applyBorder="1" applyAlignment="1">
      <alignment/>
    </xf>
    <xf numFmtId="43" fontId="9" fillId="0" borderId="32" xfId="36" applyFont="1" applyBorder="1" applyAlignment="1">
      <alignment/>
    </xf>
    <xf numFmtId="43" fontId="8" fillId="0" borderId="26" xfId="36" applyFont="1" applyBorder="1" applyAlignment="1">
      <alignment/>
    </xf>
    <xf numFmtId="43" fontId="9" fillId="0" borderId="26" xfId="36" applyFont="1" applyBorder="1" applyAlignment="1">
      <alignment/>
    </xf>
    <xf numFmtId="43" fontId="6" fillId="0" borderId="33" xfId="36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187" fontId="6" fillId="0" borderId="18" xfId="0" applyNumberFormat="1" applyFont="1" applyBorder="1" applyAlignment="1" quotePrefix="1">
      <alignment horizontal="center"/>
    </xf>
    <xf numFmtId="43" fontId="6" fillId="0" borderId="18" xfId="36" applyFont="1" applyBorder="1" applyAlignment="1">
      <alignment horizontal="right"/>
    </xf>
    <xf numFmtId="0" fontId="6" fillId="0" borderId="18" xfId="0" applyFont="1" applyBorder="1" applyAlignment="1" quotePrefix="1">
      <alignment horizontal="center"/>
    </xf>
    <xf numFmtId="0" fontId="6" fillId="0" borderId="23" xfId="0" applyFont="1" applyBorder="1" applyAlignment="1">
      <alignment horizontal="center"/>
    </xf>
    <xf numFmtId="43" fontId="7" fillId="0" borderId="34" xfId="36" applyFont="1" applyBorder="1" applyAlignment="1">
      <alignment vertical="center"/>
    </xf>
    <xf numFmtId="43" fontId="7" fillId="0" borderId="0" xfId="36" applyFont="1" applyBorder="1" applyAlignment="1">
      <alignment vertical="center"/>
    </xf>
    <xf numFmtId="0" fontId="6" fillId="0" borderId="16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NumberFormat="1" applyFont="1" applyFill="1" applyBorder="1" applyAlignment="1">
      <alignment/>
    </xf>
    <xf numFmtId="0" fontId="6" fillId="0" borderId="39" xfId="0" applyNumberFormat="1" applyFont="1" applyFill="1" applyBorder="1" applyAlignment="1">
      <alignment/>
    </xf>
    <xf numFmtId="43" fontId="6" fillId="0" borderId="18" xfId="36" applyFont="1" applyFill="1" applyBorder="1" applyAlignment="1">
      <alignment/>
    </xf>
    <xf numFmtId="43" fontId="6" fillId="0" borderId="29" xfId="36" applyFont="1" applyFill="1" applyBorder="1" applyAlignment="1">
      <alignment/>
    </xf>
    <xf numFmtId="0" fontId="6" fillId="0" borderId="4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8" xfId="0" applyFont="1" applyBorder="1" applyAlignment="1">
      <alignment/>
    </xf>
    <xf numFmtId="43" fontId="3" fillId="0" borderId="0" xfId="36" applyFont="1" applyAlignment="1">
      <alignment/>
    </xf>
    <xf numFmtId="43" fontId="3" fillId="0" borderId="0" xfId="36" applyFont="1" applyBorder="1" applyAlignment="1">
      <alignment/>
    </xf>
    <xf numFmtId="43" fontId="3" fillId="0" borderId="41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54" fillId="0" borderId="29" xfId="36" applyFont="1" applyFill="1" applyBorder="1" applyAlignment="1">
      <alignment/>
    </xf>
    <xf numFmtId="43" fontId="54" fillId="0" borderId="32" xfId="36" applyFont="1" applyFill="1" applyBorder="1" applyAlignment="1">
      <alignment/>
    </xf>
    <xf numFmtId="43" fontId="4" fillId="0" borderId="0" xfId="0" applyNumberFormat="1" applyFont="1" applyAlignment="1">
      <alignment/>
    </xf>
    <xf numFmtId="43" fontId="6" fillId="0" borderId="33" xfId="36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8" xfId="36" applyFont="1" applyBorder="1" applyAlignment="1">
      <alignment/>
    </xf>
    <xf numFmtId="0" fontId="4" fillId="0" borderId="17" xfId="0" applyFont="1" applyBorder="1" applyAlignment="1">
      <alignment/>
    </xf>
    <xf numFmtId="43" fontId="3" fillId="0" borderId="34" xfId="36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3" fontId="7" fillId="0" borderId="0" xfId="36" applyFont="1" applyAlignment="1">
      <alignment/>
    </xf>
    <xf numFmtId="0" fontId="55" fillId="0" borderId="0" xfId="0" applyFont="1" applyAlignment="1">
      <alignment/>
    </xf>
    <xf numFmtId="43" fontId="55" fillId="0" borderId="0" xfId="36" applyFont="1" applyAlignment="1">
      <alignment/>
    </xf>
    <xf numFmtId="0" fontId="6" fillId="0" borderId="1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6" fillId="0" borderId="11" xfId="36" applyFont="1" applyFill="1" applyBorder="1" applyAlignment="1">
      <alignment/>
    </xf>
    <xf numFmtId="43" fontId="6" fillId="0" borderId="0" xfId="0" applyNumberFormat="1" applyFont="1" applyAlignment="1">
      <alignment/>
    </xf>
    <xf numFmtId="43" fontId="6" fillId="33" borderId="11" xfId="36" applyFont="1" applyFill="1" applyBorder="1" applyAlignment="1">
      <alignment/>
    </xf>
    <xf numFmtId="43" fontId="6" fillId="0" borderId="0" xfId="36" applyFont="1" applyFill="1" applyAlignment="1">
      <alignment/>
    </xf>
    <xf numFmtId="43" fontId="7" fillId="0" borderId="0" xfId="36" applyFont="1" applyFill="1" applyAlignment="1">
      <alignment/>
    </xf>
    <xf numFmtId="43" fontId="56" fillId="0" borderId="0" xfId="36" applyFont="1" applyFill="1" applyAlignment="1">
      <alignment/>
    </xf>
    <xf numFmtId="0" fontId="7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3" fontId="7" fillId="0" borderId="29" xfId="36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43" fontId="7" fillId="0" borderId="33" xfId="36" applyFont="1" applyFill="1" applyBorder="1" applyAlignment="1">
      <alignment/>
    </xf>
    <xf numFmtId="43" fontId="7" fillId="0" borderId="32" xfId="36" applyFont="1" applyFill="1" applyBorder="1" applyAlignment="1">
      <alignment/>
    </xf>
    <xf numFmtId="43" fontId="6" fillId="0" borderId="26" xfId="36" applyFont="1" applyFill="1" applyBorder="1" applyAlignment="1">
      <alignment/>
    </xf>
    <xf numFmtId="43" fontId="7" fillId="0" borderId="26" xfId="36" applyFont="1" applyFill="1" applyBorder="1" applyAlignment="1">
      <alignment/>
    </xf>
    <xf numFmtId="0" fontId="6" fillId="0" borderId="38" xfId="0" applyFont="1" applyFill="1" applyBorder="1" applyAlignment="1">
      <alignment horizontal="left"/>
    </xf>
    <xf numFmtId="43" fontId="6" fillId="0" borderId="11" xfId="36" applyFont="1" applyFill="1" applyBorder="1" applyAlignment="1">
      <alignment horizontal="center"/>
    </xf>
    <xf numFmtId="43" fontId="54" fillId="0" borderId="11" xfId="36" applyFont="1" applyFill="1" applyBorder="1" applyAlignment="1">
      <alignment/>
    </xf>
    <xf numFmtId="43" fontId="6" fillId="0" borderId="18" xfId="36" applyFont="1" applyBorder="1" applyAlignment="1">
      <alignment vertical="center"/>
    </xf>
    <xf numFmtId="0" fontId="6" fillId="0" borderId="18" xfId="0" applyFont="1" applyBorder="1" applyAlignment="1">
      <alignment/>
    </xf>
    <xf numFmtId="43" fontId="6" fillId="0" borderId="34" xfId="0" applyNumberFormat="1" applyFont="1" applyBorder="1" applyAlignment="1">
      <alignment/>
    </xf>
    <xf numFmtId="43" fontId="7" fillId="10" borderId="11" xfId="36" applyFont="1" applyFill="1" applyBorder="1" applyAlignment="1">
      <alignment/>
    </xf>
    <xf numFmtId="43" fontId="6" fillId="0" borderId="0" xfId="0" applyNumberFormat="1" applyFont="1" applyFill="1" applyAlignment="1">
      <alignment/>
    </xf>
    <xf numFmtId="0" fontId="6" fillId="12" borderId="0" xfId="0" applyFont="1" applyFill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3" fontId="6" fillId="0" borderId="34" xfId="36" applyFont="1" applyBorder="1" applyAlignment="1">
      <alignment/>
    </xf>
    <xf numFmtId="43" fontId="7" fillId="9" borderId="11" xfId="36" applyFont="1" applyFill="1" applyBorder="1" applyAlignment="1">
      <alignment/>
    </xf>
    <xf numFmtId="43" fontId="7" fillId="15" borderId="11" xfId="36" applyFont="1" applyFill="1" applyBorder="1" applyAlignment="1">
      <alignment/>
    </xf>
    <xf numFmtId="43" fontId="6" fillId="15" borderId="0" xfId="36" applyFont="1" applyFill="1" applyAlignment="1">
      <alignment/>
    </xf>
    <xf numFmtId="0" fontId="6" fillId="15" borderId="0" xfId="0" applyFont="1" applyFill="1" applyAlignment="1">
      <alignment/>
    </xf>
    <xf numFmtId="43" fontId="6" fillId="9" borderId="11" xfId="36" applyFont="1" applyFill="1" applyBorder="1" applyAlignment="1">
      <alignment/>
    </xf>
    <xf numFmtId="43" fontId="6" fillId="9" borderId="0" xfId="36" applyFont="1" applyFill="1" applyAlignment="1">
      <alignment/>
    </xf>
    <xf numFmtId="0" fontId="6" fillId="9" borderId="0" xfId="0" applyFont="1" applyFill="1" applyAlignment="1">
      <alignment/>
    </xf>
    <xf numFmtId="0" fontId="7" fillId="10" borderId="12" xfId="0" applyFont="1" applyFill="1" applyBorder="1" applyAlignment="1">
      <alignment/>
    </xf>
    <xf numFmtId="0" fontId="7" fillId="10" borderId="22" xfId="0" applyFont="1" applyFill="1" applyBorder="1" applyAlignment="1">
      <alignment/>
    </xf>
    <xf numFmtId="43" fontId="6" fillId="10" borderId="11" xfId="36" applyFont="1" applyFill="1" applyBorder="1" applyAlignment="1">
      <alignment/>
    </xf>
    <xf numFmtId="43" fontId="7" fillId="10" borderId="0" xfId="36" applyFont="1" applyFill="1" applyAlignment="1">
      <alignment/>
    </xf>
    <xf numFmtId="0" fontId="7" fillId="10" borderId="0" xfId="0" applyFont="1" applyFill="1" applyAlignment="1">
      <alignment/>
    </xf>
    <xf numFmtId="43" fontId="6" fillId="12" borderId="0" xfId="36" applyFont="1" applyFill="1" applyAlignment="1">
      <alignment/>
    </xf>
    <xf numFmtId="43" fontId="7" fillId="12" borderId="11" xfId="36" applyFont="1" applyFill="1" applyBorder="1" applyAlignment="1">
      <alignment horizontal="center"/>
    </xf>
    <xf numFmtId="43" fontId="6" fillId="12" borderId="11" xfId="36" applyFont="1" applyFill="1" applyBorder="1" applyAlignment="1">
      <alignment horizontal="center"/>
    </xf>
    <xf numFmtId="43" fontId="6" fillId="0" borderId="37" xfId="36" applyFont="1" applyBorder="1" applyAlignment="1">
      <alignment/>
    </xf>
    <xf numFmtId="43" fontId="54" fillId="0" borderId="33" xfId="36" applyFont="1" applyFill="1" applyBorder="1" applyAlignment="1">
      <alignment/>
    </xf>
    <xf numFmtId="43" fontId="6" fillId="0" borderId="42" xfId="36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43" fontId="4" fillId="0" borderId="0" xfId="36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16" borderId="19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43" fontId="7" fillId="16" borderId="15" xfId="36" applyFont="1" applyFill="1" applyBorder="1" applyAlignment="1">
      <alignment/>
    </xf>
    <xf numFmtId="43" fontId="6" fillId="16" borderId="15" xfId="36" applyFont="1" applyFill="1" applyBorder="1" applyAlignment="1">
      <alignment/>
    </xf>
    <xf numFmtId="43" fontId="7" fillId="16" borderId="0" xfId="36" applyFont="1" applyFill="1" applyBorder="1" applyAlignment="1">
      <alignment/>
    </xf>
    <xf numFmtId="0" fontId="7" fillId="16" borderId="0" xfId="0" applyFont="1" applyFill="1" applyBorder="1" applyAlignment="1">
      <alignment/>
    </xf>
    <xf numFmtId="0" fontId="7" fillId="16" borderId="13" xfId="0" applyFont="1" applyFill="1" applyBorder="1" applyAlignment="1">
      <alignment/>
    </xf>
    <xf numFmtId="0" fontId="7" fillId="16" borderId="35" xfId="0" applyFont="1" applyFill="1" applyBorder="1" applyAlignment="1">
      <alignment/>
    </xf>
    <xf numFmtId="43" fontId="7" fillId="16" borderId="23" xfId="36" applyFont="1" applyFill="1" applyBorder="1" applyAlignment="1">
      <alignment/>
    </xf>
    <xf numFmtId="43" fontId="6" fillId="16" borderId="23" xfId="36" applyFont="1" applyFill="1" applyBorder="1" applyAlignment="1">
      <alignment/>
    </xf>
    <xf numFmtId="0" fontId="7" fillId="16" borderId="12" xfId="0" applyFont="1" applyFill="1" applyBorder="1" applyAlignment="1">
      <alignment/>
    </xf>
    <xf numFmtId="0" fontId="7" fillId="16" borderId="22" xfId="0" applyFont="1" applyFill="1" applyBorder="1" applyAlignment="1">
      <alignment/>
    </xf>
    <xf numFmtId="43" fontId="7" fillId="16" borderId="11" xfId="36" applyFont="1" applyFill="1" applyBorder="1" applyAlignment="1">
      <alignment/>
    </xf>
    <xf numFmtId="43" fontId="6" fillId="16" borderId="11" xfId="36" applyFont="1" applyFill="1" applyBorder="1" applyAlignment="1">
      <alignment/>
    </xf>
    <xf numFmtId="43" fontId="7" fillId="16" borderId="0" xfId="36" applyFont="1" applyFill="1" applyAlignment="1">
      <alignment/>
    </xf>
    <xf numFmtId="0" fontId="7" fillId="16" borderId="0" xfId="0" applyFont="1" applyFill="1" applyAlignment="1">
      <alignment/>
    </xf>
    <xf numFmtId="43" fontId="6" fillId="16" borderId="0" xfId="36" applyFont="1" applyFill="1" applyAlignment="1">
      <alignment/>
    </xf>
    <xf numFmtId="0" fontId="6" fillId="16" borderId="0" xfId="0" applyFont="1" applyFill="1" applyAlignment="1">
      <alignment/>
    </xf>
    <xf numFmtId="0" fontId="6" fillId="0" borderId="4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43" fontId="3" fillId="0" borderId="18" xfId="36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3" fontId="4" fillId="0" borderId="18" xfId="36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3" fontId="3" fillId="0" borderId="20" xfId="36" applyFont="1" applyBorder="1" applyAlignment="1">
      <alignment/>
    </xf>
    <xf numFmtId="43" fontId="3" fillId="0" borderId="35" xfId="36" applyFont="1" applyBorder="1" applyAlignment="1">
      <alignment/>
    </xf>
    <xf numFmtId="43" fontId="3" fillId="0" borderId="15" xfId="36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34" xfId="0" applyFont="1" applyFill="1" applyBorder="1" applyAlignment="1">
      <alignment/>
    </xf>
    <xf numFmtId="43" fontId="3" fillId="0" borderId="34" xfId="36" applyFont="1" applyFill="1" applyBorder="1" applyAlignment="1">
      <alignment/>
    </xf>
    <xf numFmtId="0" fontId="7" fillId="0" borderId="46" xfId="0" applyFont="1" applyFill="1" applyBorder="1" applyAlignment="1">
      <alignment/>
    </xf>
    <xf numFmtId="43" fontId="6" fillId="0" borderId="38" xfId="36" applyFont="1" applyFill="1" applyBorder="1" applyAlignment="1">
      <alignment/>
    </xf>
    <xf numFmtId="43" fontId="6" fillId="0" borderId="39" xfId="36" applyFont="1" applyFill="1" applyBorder="1" applyAlignment="1">
      <alignment/>
    </xf>
    <xf numFmtId="43" fontId="7" fillId="0" borderId="38" xfId="36" applyFont="1" applyFill="1" applyBorder="1" applyAlignment="1">
      <alignment/>
    </xf>
    <xf numFmtId="43" fontId="6" fillId="0" borderId="46" xfId="36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54" fillId="0" borderId="11" xfId="36" applyFont="1" applyBorder="1" applyAlignment="1">
      <alignment/>
    </xf>
    <xf numFmtId="43" fontId="57" fillId="0" borderId="11" xfId="36" applyFont="1" applyBorder="1" applyAlignment="1">
      <alignment/>
    </xf>
    <xf numFmtId="43" fontId="54" fillId="0" borderId="26" xfId="36" applyFont="1" applyBorder="1" applyAlignment="1">
      <alignment/>
    </xf>
    <xf numFmtId="43" fontId="54" fillId="0" borderId="29" xfId="36" applyFont="1" applyBorder="1" applyAlignment="1">
      <alignment/>
    </xf>
    <xf numFmtId="43" fontId="54" fillId="0" borderId="32" xfId="36" applyFont="1" applyBorder="1" applyAlignment="1">
      <alignment/>
    </xf>
    <xf numFmtId="43" fontId="57" fillId="16" borderId="11" xfId="36" applyFont="1" applyFill="1" applyBorder="1" applyAlignment="1">
      <alignment/>
    </xf>
    <xf numFmtId="43" fontId="54" fillId="0" borderId="33" xfId="36" applyFont="1" applyBorder="1" applyAlignment="1">
      <alignment/>
    </xf>
    <xf numFmtId="43" fontId="57" fillId="0" borderId="11" xfId="36" applyFont="1" applyFill="1" applyBorder="1" applyAlignment="1">
      <alignment/>
    </xf>
    <xf numFmtId="43" fontId="57" fillId="0" borderId="11" xfId="36" applyFont="1" applyFill="1" applyBorder="1" applyAlignment="1">
      <alignment horizontal="center"/>
    </xf>
    <xf numFmtId="43" fontId="54" fillId="0" borderId="0" xfId="36" applyNumberFormat="1" applyFont="1" applyAlignment="1">
      <alignment/>
    </xf>
    <xf numFmtId="43" fontId="54" fillId="0" borderId="0" xfId="36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3" fontId="6" fillId="0" borderId="18" xfId="36" applyFont="1" applyFill="1" applyBorder="1" applyAlignment="1">
      <alignment horizontal="right"/>
    </xf>
    <xf numFmtId="0" fontId="7" fillId="0" borderId="0" xfId="0" applyFont="1" applyBorder="1" applyAlignment="1">
      <alignment horizontal="left" indent="5"/>
    </xf>
    <xf numFmtId="43" fontId="7" fillId="0" borderId="0" xfId="36" applyFont="1" applyBorder="1" applyAlignment="1">
      <alignment horizontal="left" vertical="center" indent="3"/>
    </xf>
    <xf numFmtId="0" fontId="7" fillId="0" borderId="0" xfId="0" applyFont="1" applyAlignment="1">
      <alignment horizontal="left" indent="2"/>
    </xf>
    <xf numFmtId="0" fontId="4" fillId="0" borderId="0" xfId="0" applyFont="1" applyBorder="1" applyAlignment="1">
      <alignment vertical="center"/>
    </xf>
    <xf numFmtId="0" fontId="58" fillId="0" borderId="18" xfId="0" applyFont="1" applyBorder="1" applyAlignment="1">
      <alignment/>
    </xf>
    <xf numFmtId="0" fontId="59" fillId="0" borderId="18" xfId="0" applyFont="1" applyBorder="1" applyAlignment="1">
      <alignment/>
    </xf>
    <xf numFmtId="0" fontId="59" fillId="0" borderId="18" xfId="0" applyFont="1" applyBorder="1" applyAlignment="1">
      <alignment horizontal="center"/>
    </xf>
    <xf numFmtId="0" fontId="59" fillId="0" borderId="16" xfId="0" applyFont="1" applyBorder="1" applyAlignment="1">
      <alignment/>
    </xf>
    <xf numFmtId="0" fontId="59" fillId="0" borderId="23" xfId="0" applyFont="1" applyBorder="1" applyAlignment="1">
      <alignment/>
    </xf>
    <xf numFmtId="0" fontId="59" fillId="0" borderId="17" xfId="0" applyFont="1" applyBorder="1" applyAlignment="1">
      <alignment/>
    </xf>
    <xf numFmtId="0" fontId="58" fillId="0" borderId="16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15" xfId="0" applyFont="1" applyBorder="1" applyAlignment="1">
      <alignment/>
    </xf>
    <xf numFmtId="0" fontId="58" fillId="0" borderId="18" xfId="0" applyFont="1" applyBorder="1" applyAlignment="1">
      <alignment horizontal="center"/>
    </xf>
    <xf numFmtId="0" fontId="59" fillId="0" borderId="18" xfId="0" applyFont="1" applyBorder="1" applyAlignment="1" quotePrefix="1">
      <alignment horizontal="center"/>
    </xf>
    <xf numFmtId="0" fontId="59" fillId="0" borderId="17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59" fillId="0" borderId="23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43" fontId="59" fillId="0" borderId="18" xfId="36" applyFont="1" applyBorder="1" applyAlignment="1">
      <alignment/>
    </xf>
    <xf numFmtId="0" fontId="58" fillId="0" borderId="0" xfId="0" applyFont="1" applyAlignment="1">
      <alignment/>
    </xf>
    <xf numFmtId="0" fontId="58" fillId="0" borderId="23" xfId="0" applyFont="1" applyBorder="1" applyAlignment="1">
      <alignment horizontal="center"/>
    </xf>
    <xf numFmtId="43" fontId="59" fillId="0" borderId="18" xfId="36" applyNumberFormat="1" applyFont="1" applyBorder="1" applyAlignment="1">
      <alignment/>
    </xf>
    <xf numFmtId="43" fontId="58" fillId="0" borderId="34" xfId="36" applyFont="1" applyBorder="1" applyAlignment="1">
      <alignment/>
    </xf>
    <xf numFmtId="43" fontId="59" fillId="0" borderId="48" xfId="36" applyFont="1" applyBorder="1" applyAlignment="1">
      <alignment/>
    </xf>
    <xf numFmtId="43" fontId="59" fillId="0" borderId="17" xfId="36" applyFont="1" applyBorder="1" applyAlignment="1">
      <alignment/>
    </xf>
    <xf numFmtId="43" fontId="59" fillId="0" borderId="0" xfId="36" applyFont="1" applyBorder="1" applyAlignment="1">
      <alignment/>
    </xf>
    <xf numFmtId="49" fontId="58" fillId="0" borderId="0" xfId="0" applyNumberFormat="1" applyFont="1" applyAlignment="1">
      <alignment horizontal="center"/>
    </xf>
    <xf numFmtId="43" fontId="58" fillId="0" borderId="18" xfId="36" applyFont="1" applyBorder="1" applyAlignment="1">
      <alignment/>
    </xf>
    <xf numFmtId="43" fontId="58" fillId="0" borderId="11" xfId="36" applyFont="1" applyBorder="1" applyAlignment="1">
      <alignment/>
    </xf>
    <xf numFmtId="43" fontId="59" fillId="0" borderId="15" xfId="36" applyFont="1" applyBorder="1" applyAlignment="1">
      <alignment/>
    </xf>
    <xf numFmtId="43" fontId="60" fillId="0" borderId="18" xfId="36" applyFont="1" applyBorder="1" applyAlignment="1">
      <alignment/>
    </xf>
    <xf numFmtId="43" fontId="60" fillId="0" borderId="18" xfId="36" applyFont="1" applyBorder="1" applyAlignment="1">
      <alignment/>
    </xf>
    <xf numFmtId="43" fontId="59" fillId="0" borderId="18" xfId="0" applyNumberFormat="1" applyFont="1" applyBorder="1" applyAlignment="1">
      <alignment/>
    </xf>
    <xf numFmtId="43" fontId="58" fillId="0" borderId="34" xfId="0" applyNumberFormat="1" applyFont="1" applyBorder="1" applyAlignment="1">
      <alignment/>
    </xf>
    <xf numFmtId="43" fontId="58" fillId="0" borderId="0" xfId="0" applyNumberFormat="1" applyFont="1" applyBorder="1" applyAlignment="1">
      <alignment/>
    </xf>
    <xf numFmtId="43" fontId="59" fillId="0" borderId="23" xfId="36" applyFont="1" applyBorder="1" applyAlignment="1">
      <alignment/>
    </xf>
    <xf numFmtId="0" fontId="58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3" xfId="0" applyFont="1" applyBorder="1" applyAlignment="1">
      <alignment/>
    </xf>
    <xf numFmtId="0" fontId="19" fillId="0" borderId="15" xfId="0" applyFont="1" applyBorder="1" applyAlignment="1">
      <alignment/>
    </xf>
    <xf numFmtId="0" fontId="17" fillId="0" borderId="18" xfId="0" applyFont="1" applyBorder="1" applyAlignment="1">
      <alignment horizontal="left" indent="2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9" fillId="0" borderId="16" xfId="0" applyFont="1" applyBorder="1" applyAlignment="1">
      <alignment/>
    </xf>
    <xf numFmtId="0" fontId="17" fillId="0" borderId="16" xfId="0" applyFont="1" applyBorder="1" applyAlignment="1">
      <alignment horizontal="left" indent="2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43" fontId="17" fillId="0" borderId="18" xfId="36" applyFont="1" applyBorder="1" applyAlignment="1">
      <alignment/>
    </xf>
    <xf numFmtId="43" fontId="18" fillId="0" borderId="11" xfId="36" applyFont="1" applyBorder="1" applyAlignment="1">
      <alignment/>
    </xf>
    <xf numFmtId="43" fontId="18" fillId="0" borderId="11" xfId="0" applyNumberFormat="1" applyFont="1" applyBorder="1" applyAlignment="1">
      <alignment/>
    </xf>
    <xf numFmtId="43" fontId="18" fillId="0" borderId="0" xfId="0" applyNumberFormat="1" applyFont="1" applyAlignment="1">
      <alignment/>
    </xf>
    <xf numFmtId="0" fontId="19" fillId="0" borderId="18" xfId="0" applyFont="1" applyBorder="1" applyAlignment="1">
      <alignment vertical="top"/>
    </xf>
    <xf numFmtId="0" fontId="19" fillId="0" borderId="18" xfId="0" applyFont="1" applyBorder="1" applyAlignment="1">
      <alignment/>
    </xf>
    <xf numFmtId="0" fontId="18" fillId="13" borderId="0" xfId="0" applyFont="1" applyFill="1" applyAlignment="1">
      <alignment/>
    </xf>
    <xf numFmtId="0" fontId="18" fillId="13" borderId="47" xfId="0" applyFont="1" applyFill="1" applyBorder="1" applyAlignment="1">
      <alignment horizontal="center"/>
    </xf>
    <xf numFmtId="0" fontId="18" fillId="13" borderId="11" xfId="0" applyFont="1" applyFill="1" applyBorder="1" applyAlignment="1">
      <alignment horizontal="center"/>
    </xf>
    <xf numFmtId="43" fontId="17" fillId="0" borderId="18" xfId="36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8" xfId="0" applyFont="1" applyBorder="1" applyAlignment="1">
      <alignment horizontal="left" vertical="center" wrapText="1" indent="2"/>
    </xf>
    <xf numFmtId="0" fontId="18" fillId="10" borderId="47" xfId="0" applyFont="1" applyFill="1" applyBorder="1" applyAlignment="1">
      <alignment horizontal="center"/>
    </xf>
    <xf numFmtId="0" fontId="18" fillId="10" borderId="11" xfId="0" applyFont="1" applyFill="1" applyBorder="1" applyAlignment="1">
      <alignment horizontal="center"/>
    </xf>
    <xf numFmtId="0" fontId="17" fillId="10" borderId="15" xfId="0" applyFont="1" applyFill="1" applyBorder="1" applyAlignment="1">
      <alignment/>
    </xf>
    <xf numFmtId="43" fontId="17" fillId="10" borderId="18" xfId="36" applyFont="1" applyFill="1" applyBorder="1" applyAlignment="1">
      <alignment/>
    </xf>
    <xf numFmtId="43" fontId="18" fillId="10" borderId="11" xfId="0" applyNumberFormat="1" applyFont="1" applyFill="1" applyBorder="1" applyAlignment="1">
      <alignment/>
    </xf>
    <xf numFmtId="0" fontId="17" fillId="10" borderId="0" xfId="0" applyFont="1" applyFill="1" applyAlignment="1">
      <alignment/>
    </xf>
    <xf numFmtId="0" fontId="7" fillId="0" borderId="0" xfId="0" applyFont="1" applyBorder="1" applyAlignment="1">
      <alignment horizontal="left" indent="2"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0" borderId="47" xfId="0" applyFont="1" applyFill="1" applyBorder="1" applyAlignment="1" quotePrefix="1">
      <alignment horizontal="center"/>
    </xf>
    <xf numFmtId="0" fontId="9" fillId="0" borderId="11" xfId="0" applyFont="1" applyBorder="1" applyAlignment="1" quotePrefix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 quotePrefix="1">
      <alignment horizontal="center"/>
    </xf>
    <xf numFmtId="0" fontId="6" fillId="0" borderId="17" xfId="0" applyFont="1" applyFill="1" applyBorder="1" applyAlignment="1" quotePrefix="1">
      <alignment horizontal="center"/>
    </xf>
    <xf numFmtId="0" fontId="6" fillId="0" borderId="17" xfId="0" applyFont="1" applyFill="1" applyBorder="1" applyAlignment="1">
      <alignment horizontal="left"/>
    </xf>
    <xf numFmtId="188" fontId="6" fillId="0" borderId="18" xfId="36" applyNumberFormat="1" applyFont="1" applyFill="1" applyBorder="1" applyAlignment="1" quotePrefix="1">
      <alignment horizontal="center"/>
    </xf>
    <xf numFmtId="43" fontId="6" fillId="34" borderId="11" xfId="36" applyFont="1" applyFill="1" applyBorder="1" applyAlignment="1">
      <alignment/>
    </xf>
    <xf numFmtId="43" fontId="6" fillId="4" borderId="11" xfId="36" applyFont="1" applyFill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2" xfId="0" applyNumberFormat="1" applyFont="1" applyBorder="1" applyAlignment="1">
      <alignment horizontal="left"/>
    </xf>
    <xf numFmtId="0" fontId="7" fillId="0" borderId="11" xfId="0" applyFont="1" applyFill="1" applyBorder="1" applyAlignment="1" quotePrefix="1">
      <alignment horizontal="center"/>
    </xf>
    <xf numFmtId="0" fontId="7" fillId="0" borderId="47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43" fontId="6" fillId="0" borderId="28" xfId="36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5" xfId="0" applyFont="1" applyBorder="1" applyAlignment="1">
      <alignment horizontal="left"/>
    </xf>
    <xf numFmtId="43" fontId="6" fillId="0" borderId="0" xfId="36" applyFont="1" applyBorder="1" applyAlignment="1">
      <alignment/>
    </xf>
    <xf numFmtId="0" fontId="6" fillId="0" borderId="28" xfId="0" applyFont="1" applyBorder="1" applyAlignment="1">
      <alignment horizontal="left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7" fillId="0" borderId="47" xfId="0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0" fontId="3" fillId="0" borderId="0" xfId="0" applyFont="1" applyAlignment="1">
      <alignment horizontal="center"/>
    </xf>
    <xf numFmtId="43" fontId="6" fillId="15" borderId="11" xfId="36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7" fillId="0" borderId="47" xfId="0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0" fontId="9" fillId="0" borderId="11" xfId="0" applyFont="1" applyBorder="1" applyAlignment="1" quotePrefix="1">
      <alignment horizontal="center"/>
    </xf>
    <xf numFmtId="43" fontId="55" fillId="0" borderId="18" xfId="36" applyFont="1" applyBorder="1" applyAlignment="1">
      <alignment/>
    </xf>
    <xf numFmtId="43" fontId="9" fillId="0" borderId="18" xfId="36" applyFont="1" applyFill="1" applyBorder="1" applyAlignment="1">
      <alignment/>
    </xf>
    <xf numFmtId="43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0" borderId="47" xfId="0" applyFont="1" applyFill="1" applyBorder="1" applyAlignment="1" quotePrefix="1">
      <alignment horizontal="center"/>
    </xf>
    <xf numFmtId="0" fontId="9" fillId="0" borderId="11" xfId="0" applyFont="1" applyBorder="1" applyAlignment="1" quotePrefix="1">
      <alignment horizontal="center"/>
    </xf>
    <xf numFmtId="43" fontId="7" fillId="0" borderId="15" xfId="36" applyFont="1" applyFill="1" applyBorder="1" applyAlignment="1">
      <alignment/>
    </xf>
    <xf numFmtId="43" fontId="9" fillId="0" borderId="42" xfId="36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3" fontId="20" fillId="0" borderId="0" xfId="36" applyFont="1" applyAlignment="1">
      <alignment/>
    </xf>
    <xf numFmtId="43" fontId="20" fillId="0" borderId="0" xfId="36" applyFont="1" applyAlignment="1">
      <alignment horizontal="center"/>
    </xf>
    <xf numFmtId="0" fontId="20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0" borderId="47" xfId="0" applyFont="1" applyFill="1" applyBorder="1" applyAlignment="1" quotePrefix="1">
      <alignment horizontal="center"/>
    </xf>
    <xf numFmtId="43" fontId="7" fillId="34" borderId="11" xfId="36" applyFont="1" applyFill="1" applyBorder="1" applyAlignment="1">
      <alignment/>
    </xf>
    <xf numFmtId="43" fontId="56" fillId="34" borderId="0" xfId="36" applyFont="1" applyFill="1" applyAlignment="1">
      <alignment/>
    </xf>
    <xf numFmtId="0" fontId="6" fillId="34" borderId="0" xfId="0" applyFont="1" applyFill="1" applyAlignment="1">
      <alignment/>
    </xf>
    <xf numFmtId="0" fontId="6" fillId="0" borderId="1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43" fontId="6" fillId="0" borderId="32" xfId="36" applyFont="1" applyFill="1" applyBorder="1" applyAlignment="1">
      <alignment/>
    </xf>
    <xf numFmtId="43" fontId="54" fillId="0" borderId="10" xfId="36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0" borderId="47" xfId="0" applyFont="1" applyFill="1" applyBorder="1" applyAlignment="1" quotePrefix="1">
      <alignment horizontal="center"/>
    </xf>
    <xf numFmtId="43" fontId="6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43" fontId="7" fillId="0" borderId="11" xfId="36" applyFont="1" applyFill="1" applyBorder="1" applyAlignment="1">
      <alignment horizontal="center" vertical="center"/>
    </xf>
    <xf numFmtId="43" fontId="7" fillId="0" borderId="34" xfId="36" applyFont="1" applyFill="1" applyBorder="1" applyAlignment="1">
      <alignment vertical="center"/>
    </xf>
    <xf numFmtId="43" fontId="7" fillId="0" borderId="0" xfId="36" applyFont="1" applyFill="1" applyBorder="1" applyAlignment="1">
      <alignment vertical="center"/>
    </xf>
    <xf numFmtId="43" fontId="7" fillId="0" borderId="0" xfId="36" applyFont="1" applyFill="1" applyBorder="1" applyAlignment="1">
      <alignment horizontal="left" vertical="center" indent="3"/>
    </xf>
    <xf numFmtId="0" fontId="7" fillId="0" borderId="0" xfId="0" applyFont="1" applyFill="1" applyAlignment="1">
      <alignment horizontal="left" indent="2"/>
    </xf>
    <xf numFmtId="43" fontId="57" fillId="0" borderId="0" xfId="36" applyFont="1" applyFill="1" applyAlignment="1">
      <alignment/>
    </xf>
    <xf numFmtId="0" fontId="7" fillId="0" borderId="11" xfId="0" applyFont="1" applyFill="1" applyBorder="1" applyAlignment="1" quotePrefix="1">
      <alignment horizontal="center"/>
    </xf>
    <xf numFmtId="0" fontId="7" fillId="0" borderId="47" xfId="0" applyFont="1" applyFill="1" applyBorder="1" applyAlignment="1" quotePrefix="1">
      <alignment horizontal="center"/>
    </xf>
    <xf numFmtId="0" fontId="6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" fillId="0" borderId="17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horizontal="left"/>
    </xf>
    <xf numFmtId="43" fontId="59" fillId="0" borderId="11" xfId="36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22" xfId="0" applyFont="1" applyFill="1" applyBorder="1" applyAlignment="1">
      <alignment horizontal="center"/>
    </xf>
    <xf numFmtId="43" fontId="7" fillId="34" borderId="0" xfId="36" applyFont="1" applyFill="1" applyAlignment="1">
      <alignment/>
    </xf>
    <xf numFmtId="0" fontId="7" fillId="34" borderId="0" xfId="0" applyFont="1" applyFill="1" applyAlignment="1">
      <alignment/>
    </xf>
    <xf numFmtId="0" fontId="6" fillId="34" borderId="12" xfId="0" applyFont="1" applyFill="1" applyBorder="1" applyAlignment="1">
      <alignment horizontal="left"/>
    </xf>
    <xf numFmtId="0" fontId="6" fillId="34" borderId="22" xfId="0" applyFont="1" applyFill="1" applyBorder="1" applyAlignment="1">
      <alignment/>
    </xf>
    <xf numFmtId="43" fontId="57" fillId="34" borderId="11" xfId="36" applyFont="1" applyFill="1" applyBorder="1" applyAlignment="1">
      <alignment/>
    </xf>
    <xf numFmtId="43" fontId="6" fillId="34" borderId="0" xfId="36" applyFont="1" applyFill="1" applyAlignment="1">
      <alignment/>
    </xf>
    <xf numFmtId="0" fontId="7" fillId="0" borderId="0" xfId="0" applyFont="1" applyBorder="1" applyAlignment="1">
      <alignment/>
    </xf>
    <xf numFmtId="43" fontId="17" fillId="0" borderId="0" xfId="36" applyFont="1" applyAlignment="1">
      <alignment/>
    </xf>
    <xf numFmtId="0" fontId="7" fillId="0" borderId="11" xfId="0" applyFont="1" applyFill="1" applyBorder="1" applyAlignment="1" quotePrefix="1">
      <alignment horizontal="center"/>
    </xf>
    <xf numFmtId="0" fontId="7" fillId="0" borderId="47" xfId="0" applyFont="1" applyFill="1" applyBorder="1" applyAlignment="1" quotePrefix="1">
      <alignment horizontal="center"/>
    </xf>
    <xf numFmtId="43" fontId="18" fillId="0" borderId="0" xfId="36" applyFont="1" applyAlignment="1">
      <alignment/>
    </xf>
    <xf numFmtId="43" fontId="18" fillId="0" borderId="10" xfId="36" applyFont="1" applyBorder="1" applyAlignment="1">
      <alignment/>
    </xf>
    <xf numFmtId="0" fontId="9" fillId="0" borderId="11" xfId="0" applyFont="1" applyBorder="1" applyAlignment="1" quotePrefix="1">
      <alignment horizontal="center"/>
    </xf>
    <xf numFmtId="43" fontId="7" fillId="12" borderId="12" xfId="36" applyFont="1" applyFill="1" applyBorder="1" applyAlignment="1">
      <alignment horizontal="center"/>
    </xf>
    <xf numFmtId="43" fontId="7" fillId="12" borderId="47" xfId="36" applyFont="1" applyFill="1" applyBorder="1" applyAlignment="1">
      <alignment horizontal="center"/>
    </xf>
    <xf numFmtId="17" fontId="7" fillId="12" borderId="12" xfId="36" applyNumberFormat="1" applyFont="1" applyFill="1" applyBorder="1" applyAlignment="1">
      <alignment horizontal="center"/>
    </xf>
    <xf numFmtId="43" fontId="6" fillId="12" borderId="12" xfId="36" applyFont="1" applyFill="1" applyBorder="1" applyAlignment="1">
      <alignment horizontal="center"/>
    </xf>
    <xf numFmtId="43" fontId="6" fillId="12" borderId="47" xfId="36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7" fillId="16" borderId="2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0" fontId="6" fillId="0" borderId="47" xfId="0" applyNumberFormat="1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 vertical="center"/>
    </xf>
    <xf numFmtId="0" fontId="7" fillId="12" borderId="22" xfId="0" applyFont="1" applyFill="1" applyBorder="1" applyAlignment="1">
      <alignment horizontal="center" vertical="center"/>
    </xf>
    <xf numFmtId="0" fontId="7" fillId="1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6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5" fontId="7" fillId="0" borderId="35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3" fontId="7" fillId="0" borderId="0" xfId="36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3" fontId="4" fillId="0" borderId="0" xfId="36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/>
    </xf>
    <xf numFmtId="0" fontId="7" fillId="0" borderId="47" xfId="0" applyFont="1" applyFill="1" applyBorder="1" applyAlignment="1" quotePrefix="1">
      <alignment horizontal="center"/>
    </xf>
    <xf numFmtId="0" fontId="7" fillId="0" borderId="2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43" fontId="7" fillId="0" borderId="0" xfId="3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43" fontId="7" fillId="0" borderId="20" xfId="36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22" xfId="0" applyFont="1" applyBorder="1" applyAlignment="1" quotePrefix="1">
      <alignment horizontal="center"/>
    </xf>
    <xf numFmtId="0" fontId="9" fillId="0" borderId="47" xfId="0" applyFont="1" applyBorder="1" applyAlignment="1" quotePrefix="1">
      <alignment horizontal="center"/>
    </xf>
    <xf numFmtId="0" fontId="9" fillId="0" borderId="11" xfId="0" applyFont="1" applyBorder="1" applyAlignment="1">
      <alignment horizontal="center" vertical="center"/>
    </xf>
    <xf numFmtId="0" fontId="18" fillId="13" borderId="22" xfId="0" applyFont="1" applyFill="1" applyBorder="1" applyAlignment="1">
      <alignment horizontal="center"/>
    </xf>
    <xf numFmtId="0" fontId="18" fillId="13" borderId="47" xfId="0" applyFont="1" applyFill="1" applyBorder="1" applyAlignment="1">
      <alignment horizontal="center"/>
    </xf>
    <xf numFmtId="0" fontId="18" fillId="10" borderId="22" xfId="0" applyFont="1" applyFill="1" applyBorder="1" applyAlignment="1">
      <alignment horizontal="center"/>
    </xf>
    <xf numFmtId="0" fontId="18" fillId="10" borderId="47" xfId="0" applyFont="1" applyFill="1" applyBorder="1" applyAlignment="1">
      <alignment horizontal="center"/>
    </xf>
    <xf numFmtId="0" fontId="18" fillId="13" borderId="15" xfId="0" applyFont="1" applyFill="1" applyBorder="1" applyAlignment="1">
      <alignment horizontal="center" vertical="center"/>
    </xf>
    <xf numFmtId="0" fontId="18" fillId="13" borderId="23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591;&#3634;&#3609;&#3585;&#3634;&#3619;&#3648;&#3591;&#3636;&#3609;&#3649;&#3621;&#3632;&#3610;&#3633;&#3597;&#3594;&#3637;%20-wanna%202554-2557\&#3591;&#3610;\&#3611;&#3637;%202557\&#3591;&#3610;&#3649;&#3626;&#3604;&#3591;&#3600;&#3634;&#3609;&#3632;&#3585;&#3634;&#3619;&#3648;&#3591;&#3636;&#3609;&#3611;&#3637;%202555..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591;&#3634;&#3609;&#3585;&#3634;&#3619;&#3648;&#3591;&#3636;&#3609;&#3649;&#3621;&#3632;&#3610;&#3633;&#3597;&#3594;&#3637;%20-wanna%202554-2557\&#3591;&#3610;\&#3611;&#3637;%202557\&#3619;&#3634;&#3618;&#3592;&#3656;&#3634;&#3618;&#3649;&#3618;&#3585;&#3605;&#3634;&#3617;&#3649;&#3612;&#3609;&#3591;&#3634;&#3609;%20&#3611;&#3637;%20255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mboon\AppData\Local\Temp\&#3591;&#3610;&#3649;&#3626;&#3604;&#3591;&#3600;&#3634;&#3609;&#3632;&#3585;&#3634;&#3619;&#3648;&#3591;&#3636;&#3609;&#3611;&#3637;%20255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mboon\AppData\Local\Temp\&#3651;&#3610;&#3612;&#3656;&#3634;&#3609;&#3619;&#3634;&#3618;&#3585;&#3634;&#3619;&#3610;&#3633;&#3597;&#3594;&#3637;&#3617;&#3634;&#3605;&#3619;&#3600;&#3634;&#3609;-&#3607;&#3633;&#3656;&#3623;&#3652;&#3611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mboon\AppData\Local\Temp\&#3619;&#3634;&#3618;&#3592;&#3656;&#3634;&#3618;&#3649;&#3618;&#3585;&#3605;&#3634;&#3617;&#3649;&#3612;&#3609;&#3591;&#3634;&#3609;%20&#3611;&#3637;%2025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ฐานะการเงิน"/>
      <sheetName val="งบทรัพย์สิน(1)"/>
      <sheetName val="ประกอบงบ (2),(3)"/>
      <sheetName val="ค้างจ่าย (4)"/>
      <sheetName val="เงินสะสม (5)"/>
      <sheetName val="อนุมัติจ่ายเงินสะสม (5.1)"/>
      <sheetName val="รายงานจ่ายเงินสะสม"/>
      <sheetName val="งบแสดงผลงานจากรายรับ"/>
      <sheetName val="Sheet1"/>
    </sheetNames>
    <sheetDataSet>
      <sheetData sheetId="4">
        <row r="21">
          <cell r="D21">
            <v>11351917.227500003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จ่ายแผน"/>
      <sheetName val="จ่ายเดือน (2)"/>
      <sheetName val="ทั่วไป,คลัง"/>
      <sheetName val="สงบ"/>
      <sheetName val="ศึกษา"/>
      <sheetName val="สธ."/>
      <sheetName val="สงเคราะห์"/>
      <sheetName val="เคหะ"/>
      <sheetName val="สร้างความเข้มแข็ง"/>
      <sheetName val="ศาสนาฯ"/>
      <sheetName val="การเกษตร"/>
      <sheetName val="การพาณิชย์"/>
      <sheetName val="งบกลาง"/>
      <sheetName val="งบกลาง (2)"/>
    </sheetNames>
    <sheetDataSet>
      <sheetData sheetId="1">
        <row r="26">
          <cell r="G26">
            <v>2713528.3099999996</v>
          </cell>
        </row>
        <row r="30">
          <cell r="G30">
            <v>313695</v>
          </cell>
        </row>
        <row r="33">
          <cell r="G33">
            <v>1851857.1400000001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งบฐานะการเงิน"/>
      <sheetName val="งบทรัพย์สิน(1)"/>
      <sheetName val="งบทรัพย์สิน ปี 2555"/>
      <sheetName val="ประกอบงบ (2),(3)"/>
      <sheetName val="ค้างจ่าย (4)"/>
      <sheetName val="เงินสะสม (5)"/>
      <sheetName val="อนุมัติจ่ายเงินสะสม (5.1)"/>
      <sheetName val="รายงานจ่ายเงินสะสม"/>
      <sheetName val="งบแสดงผลงานจากรายรับ"/>
      <sheetName val="เงินสะสมที่สามารถนำไปใช้ได้"/>
      <sheetName val="เงินสะสมที่สามารถนำไปใช้ได้ (2)"/>
      <sheetName val="เงินสะสมที่สามารถนำไปใช้ได้ (3)"/>
      <sheetName val="ทะเบียนตัดจ่ายเงินสะสม"/>
      <sheetName val="Sheet1"/>
    </sheetNames>
    <sheetDataSet>
      <sheetData sheetId="4">
        <row r="9">
          <cell r="F9">
            <v>50000</v>
          </cell>
        </row>
        <row r="11">
          <cell r="F11">
            <v>16500</v>
          </cell>
        </row>
        <row r="12">
          <cell r="F12">
            <v>11000</v>
          </cell>
        </row>
        <row r="13">
          <cell r="F13">
            <v>10000</v>
          </cell>
        </row>
        <row r="14">
          <cell r="F14">
            <v>9900</v>
          </cell>
        </row>
        <row r="15">
          <cell r="F15">
            <v>11000</v>
          </cell>
        </row>
        <row r="16">
          <cell r="F16">
            <v>9000</v>
          </cell>
        </row>
        <row r="17">
          <cell r="F17">
            <v>50000</v>
          </cell>
        </row>
        <row r="20">
          <cell r="F20">
            <v>175000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รายการบัญชีมาตรฐาน"/>
      <sheetName val="ใบผ่านรายการบัญชีมาตรฐาน (2)"/>
      <sheetName val="ใบผ่านรายการทั่วไป"/>
      <sheetName val="ปิดบัญชี ปี 57"/>
      <sheetName val="ส่งใช้เดินทางไปราชการ"/>
      <sheetName val="ปรับปรุงเงินรับฝาก"/>
      <sheetName val="ส่งใช้เงินยืมโครงการ"/>
      <sheetName val="ส่งใช้เงินยืมค่าตอบแทน"/>
      <sheetName val="ผลักกรุงไทยเข้าธกส."/>
      <sheetName val="ปรับปรุงจ่ายขาดเงินสะสม"/>
      <sheetName val="ปรับปรุงเงินฝาก กสท."/>
      <sheetName val="ส่งใช้ประกันสังคม"/>
      <sheetName val="ส่งใช้เงินเดือน"/>
      <sheetName val="ส่งใช้ค่าจ้างผดด."/>
      <sheetName val="ส่งใช้ทุน"/>
      <sheetName val="ส่งคืนเบี้ยผู้สูงอายุ-พิการ"/>
      <sheetName val="ตั้งลูกหนี้ค่าน้ำประปา"/>
      <sheetName val="ตั้งลูกหนี้เศรษฐกิจชุมชน"/>
      <sheetName val="ตั้งลูกหนี้ภาษีบำรุงท้องที่"/>
      <sheetName val="ปป.ลน.ค่าน้ำประปา "/>
      <sheetName val="ภาคีเครือข่าย"/>
      <sheetName val="ปป.จ่ายขาดเงินสะสม"/>
      <sheetName val="เงินเกินบัญชี"/>
    </sheetNames>
    <sheetDataSet>
      <sheetData sheetId="0">
        <row r="58">
          <cell r="F58" t="str">
            <v>เดบิต</v>
          </cell>
        </row>
        <row r="60">
          <cell r="F60">
            <v>218720</v>
          </cell>
        </row>
        <row r="61">
          <cell r="F61">
            <v>398250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งบประมาณ"/>
      <sheetName val="จ่ายแผน"/>
      <sheetName val="จ่ายเดือน "/>
      <sheetName val="ทั่วไป,คลัง"/>
      <sheetName val="สงบ123"/>
      <sheetName val="ศึกษา211"/>
      <sheetName val="สาธารณสุข220"/>
      <sheetName val="สงเคราะห์"/>
      <sheetName val="เคหะชุมชน241"/>
      <sheetName val="สร้างความเข้มแข็ง251"/>
      <sheetName val="ศาสนาฯ260"/>
      <sheetName val="การเกษตร320"/>
      <sheetName val="การพาณิชย์330"/>
      <sheetName val="งบกลาง"/>
      <sheetName val="รายรับ-รายจ่าย -แผน"/>
    </sheetNames>
    <sheetDataSet>
      <sheetData sheetId="2">
        <row r="7">
          <cell r="H7">
            <v>1422523.47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G174"/>
  <sheetViews>
    <sheetView view="pageBreakPreview" zoomScale="110" zoomScaleSheetLayoutView="110" zoomScalePageLayoutView="0" workbookViewId="0" topLeftCell="A1">
      <pane xSplit="4" ySplit="1" topLeftCell="AW15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W1" sqref="AW1:BB164"/>
    </sheetView>
  </sheetViews>
  <sheetFormatPr defaultColWidth="9.140625" defaultRowHeight="12.75"/>
  <cols>
    <col min="1" max="3" width="1.7109375" style="5" customWidth="1"/>
    <col min="4" max="4" width="42.140625" style="5" customWidth="1"/>
    <col min="5" max="12" width="13.8515625" style="6" customWidth="1"/>
    <col min="13" max="18" width="14.57421875" style="6" customWidth="1"/>
    <col min="19" max="20" width="15.140625" style="6" customWidth="1"/>
    <col min="21" max="21" width="16.140625" style="6" customWidth="1"/>
    <col min="22" max="22" width="14.57421875" style="6" customWidth="1"/>
    <col min="23" max="23" width="15.140625" style="6" customWidth="1"/>
    <col min="24" max="24" width="13.28125" style="6" customWidth="1"/>
    <col min="25" max="25" width="14.57421875" style="6" customWidth="1"/>
    <col min="26" max="26" width="14.421875" style="6" customWidth="1"/>
    <col min="27" max="27" width="16.00390625" style="6" customWidth="1"/>
    <col min="28" max="28" width="15.421875" style="6" customWidth="1"/>
    <col min="29" max="29" width="16.00390625" style="6" customWidth="1"/>
    <col min="30" max="30" width="14.421875" style="6" customWidth="1"/>
    <col min="31" max="31" width="13.7109375" style="6" customWidth="1"/>
    <col min="32" max="32" width="13.7109375" style="210" customWidth="1"/>
    <col min="33" max="36" width="13.7109375" style="6" customWidth="1"/>
    <col min="37" max="37" width="14.00390625" style="6" customWidth="1"/>
    <col min="38" max="38" width="13.421875" style="6" customWidth="1"/>
    <col min="39" max="39" width="13.28125" style="6" customWidth="1"/>
    <col min="40" max="40" width="12.7109375" style="6" customWidth="1"/>
    <col min="41" max="41" width="14.57421875" style="6" customWidth="1"/>
    <col min="42" max="42" width="13.8515625" style="6" customWidth="1"/>
    <col min="43" max="43" width="14.28125" style="6" customWidth="1"/>
    <col min="44" max="44" width="13.57421875" style="6" customWidth="1"/>
    <col min="45" max="45" width="13.00390625" style="6" customWidth="1"/>
    <col min="46" max="46" width="12.8515625" style="6" customWidth="1"/>
    <col min="47" max="47" width="12.140625" style="6" customWidth="1"/>
    <col min="48" max="48" width="12.28125" style="6" customWidth="1"/>
    <col min="49" max="49" width="12.57421875" style="6" customWidth="1"/>
    <col min="50" max="50" width="12.7109375" style="6" customWidth="1"/>
    <col min="51" max="51" width="13.57421875" style="6" customWidth="1"/>
    <col min="52" max="52" width="12.8515625" style="6" customWidth="1"/>
    <col min="53" max="53" width="12.28125" style="6" customWidth="1"/>
    <col min="54" max="54" width="12.421875" style="6" customWidth="1"/>
    <col min="55" max="56" width="13.140625" style="6" customWidth="1"/>
    <col min="57" max="57" width="12.7109375" style="6" customWidth="1"/>
    <col min="58" max="58" width="12.00390625" style="6" customWidth="1"/>
    <col min="59" max="59" width="13.421875" style="6" customWidth="1"/>
    <col min="60" max="60" width="12.28125" style="6" customWidth="1"/>
    <col min="61" max="61" width="11.421875" style="6" customWidth="1"/>
    <col min="62" max="62" width="12.140625" style="6" customWidth="1"/>
    <col min="63" max="64" width="11.140625" style="6" customWidth="1"/>
    <col min="65" max="65" width="12.140625" style="6" customWidth="1"/>
    <col min="66" max="66" width="12.00390625" style="6" customWidth="1"/>
    <col min="67" max="67" width="13.00390625" style="6" customWidth="1"/>
    <col min="68" max="68" width="12.7109375" style="6" customWidth="1"/>
    <col min="69" max="69" width="12.421875" style="6" customWidth="1"/>
    <col min="70" max="70" width="11.8515625" style="6" customWidth="1"/>
    <col min="71" max="72" width="13.421875" style="6" customWidth="1"/>
    <col min="73" max="73" width="11.57421875" style="6" customWidth="1"/>
    <col min="74" max="82" width="12.7109375" style="6" customWidth="1"/>
    <col min="83" max="84" width="12.28125" style="6" bestFit="1" customWidth="1"/>
    <col min="85" max="85" width="11.7109375" style="5" bestFit="1" customWidth="1"/>
    <col min="86" max="16384" width="9.140625" style="5" customWidth="1"/>
  </cols>
  <sheetData>
    <row r="1" spans="1:84" s="125" customFormat="1" ht="15.75">
      <c r="A1" s="459" t="s">
        <v>0</v>
      </c>
      <c r="B1" s="460"/>
      <c r="C1" s="460"/>
      <c r="D1" s="461"/>
      <c r="E1" s="436" t="s">
        <v>463</v>
      </c>
      <c r="F1" s="435"/>
      <c r="G1" s="436" t="s">
        <v>70</v>
      </c>
      <c r="H1" s="435"/>
      <c r="I1" s="434" t="s">
        <v>161</v>
      </c>
      <c r="J1" s="435"/>
      <c r="K1" s="434" t="s">
        <v>472</v>
      </c>
      <c r="L1" s="435"/>
      <c r="M1" s="436" t="s">
        <v>476</v>
      </c>
      <c r="N1" s="435"/>
      <c r="O1" s="434" t="s">
        <v>161</v>
      </c>
      <c r="P1" s="435"/>
      <c r="Q1" s="434" t="s">
        <v>477</v>
      </c>
      <c r="R1" s="435"/>
      <c r="S1" s="436" t="s">
        <v>478</v>
      </c>
      <c r="T1" s="435"/>
      <c r="U1" s="434" t="s">
        <v>161</v>
      </c>
      <c r="V1" s="435"/>
      <c r="W1" s="434" t="s">
        <v>499</v>
      </c>
      <c r="X1" s="435"/>
      <c r="Y1" s="436" t="s">
        <v>500</v>
      </c>
      <c r="Z1" s="435"/>
      <c r="AA1" s="434" t="s">
        <v>161</v>
      </c>
      <c r="AB1" s="435"/>
      <c r="AC1" s="436" t="s">
        <v>501</v>
      </c>
      <c r="AD1" s="435"/>
      <c r="AE1" s="436" t="s">
        <v>502</v>
      </c>
      <c r="AF1" s="435"/>
      <c r="AG1" s="434" t="s">
        <v>161</v>
      </c>
      <c r="AH1" s="435"/>
      <c r="AI1" s="434" t="s">
        <v>503</v>
      </c>
      <c r="AJ1" s="435"/>
      <c r="AK1" s="436" t="s">
        <v>504</v>
      </c>
      <c r="AL1" s="435"/>
      <c r="AM1" s="437" t="s">
        <v>161</v>
      </c>
      <c r="AN1" s="438"/>
      <c r="AO1" s="434" t="s">
        <v>505</v>
      </c>
      <c r="AP1" s="435"/>
      <c r="AQ1" s="436" t="s">
        <v>506</v>
      </c>
      <c r="AR1" s="435"/>
      <c r="AS1" s="434" t="s">
        <v>161</v>
      </c>
      <c r="AT1" s="435"/>
      <c r="AU1" s="434" t="s">
        <v>507</v>
      </c>
      <c r="AV1" s="435"/>
      <c r="AW1" s="436" t="s">
        <v>508</v>
      </c>
      <c r="AX1" s="435"/>
      <c r="AY1" s="434" t="s">
        <v>161</v>
      </c>
      <c r="AZ1" s="435"/>
      <c r="BA1" s="434" t="s">
        <v>509</v>
      </c>
      <c r="BB1" s="435"/>
      <c r="BC1" s="436" t="s">
        <v>510</v>
      </c>
      <c r="BD1" s="435"/>
      <c r="BE1" s="434" t="s">
        <v>161</v>
      </c>
      <c r="BF1" s="435"/>
      <c r="BG1" s="434" t="s">
        <v>511</v>
      </c>
      <c r="BH1" s="435"/>
      <c r="BI1" s="436" t="s">
        <v>512</v>
      </c>
      <c r="BJ1" s="435"/>
      <c r="BK1" s="434" t="s">
        <v>161</v>
      </c>
      <c r="BL1" s="435"/>
      <c r="BM1" s="434" t="s">
        <v>513</v>
      </c>
      <c r="BN1" s="435"/>
      <c r="BO1" s="436" t="s">
        <v>514</v>
      </c>
      <c r="BP1" s="435"/>
      <c r="BQ1" s="434" t="s">
        <v>161</v>
      </c>
      <c r="BR1" s="435"/>
      <c r="BS1" s="434" t="s">
        <v>515</v>
      </c>
      <c r="BT1" s="435"/>
      <c r="BU1" s="436" t="s">
        <v>516</v>
      </c>
      <c r="BV1" s="435"/>
      <c r="BW1" s="434" t="s">
        <v>161</v>
      </c>
      <c r="BX1" s="435"/>
      <c r="BY1" s="434" t="s">
        <v>517</v>
      </c>
      <c r="BZ1" s="435"/>
      <c r="CA1" s="437" t="s">
        <v>300</v>
      </c>
      <c r="CB1" s="438"/>
      <c r="CC1" s="434" t="s">
        <v>518</v>
      </c>
      <c r="CD1" s="435"/>
      <c r="CE1" s="141"/>
      <c r="CF1" s="141"/>
    </row>
    <row r="2" spans="1:84" s="125" customFormat="1" ht="15.75">
      <c r="A2" s="459"/>
      <c r="B2" s="460"/>
      <c r="C2" s="460"/>
      <c r="D2" s="461"/>
      <c r="E2" s="142" t="s">
        <v>71</v>
      </c>
      <c r="F2" s="142" t="s">
        <v>72</v>
      </c>
      <c r="G2" s="142" t="s">
        <v>71</v>
      </c>
      <c r="H2" s="142" t="s">
        <v>72</v>
      </c>
      <c r="I2" s="142" t="s">
        <v>71</v>
      </c>
      <c r="J2" s="142" t="s">
        <v>72</v>
      </c>
      <c r="K2" s="142" t="s">
        <v>71</v>
      </c>
      <c r="L2" s="142" t="s">
        <v>72</v>
      </c>
      <c r="M2" s="142" t="s">
        <v>71</v>
      </c>
      <c r="N2" s="142" t="s">
        <v>72</v>
      </c>
      <c r="O2" s="142" t="s">
        <v>71</v>
      </c>
      <c r="P2" s="142" t="s">
        <v>72</v>
      </c>
      <c r="Q2" s="142" t="s">
        <v>71</v>
      </c>
      <c r="R2" s="142" t="s">
        <v>72</v>
      </c>
      <c r="S2" s="142" t="s">
        <v>71</v>
      </c>
      <c r="T2" s="142" t="s">
        <v>72</v>
      </c>
      <c r="U2" s="142" t="s">
        <v>71</v>
      </c>
      <c r="V2" s="142" t="s">
        <v>72</v>
      </c>
      <c r="W2" s="142" t="s">
        <v>71</v>
      </c>
      <c r="X2" s="142" t="s">
        <v>72</v>
      </c>
      <c r="Y2" s="142" t="s">
        <v>71</v>
      </c>
      <c r="Z2" s="142" t="s">
        <v>72</v>
      </c>
      <c r="AA2" s="142" t="s">
        <v>71</v>
      </c>
      <c r="AB2" s="142" t="s">
        <v>72</v>
      </c>
      <c r="AC2" s="142" t="s">
        <v>71</v>
      </c>
      <c r="AD2" s="142" t="s">
        <v>72</v>
      </c>
      <c r="AE2" s="142" t="s">
        <v>71</v>
      </c>
      <c r="AF2" s="142" t="s">
        <v>72</v>
      </c>
      <c r="AG2" s="142" t="s">
        <v>71</v>
      </c>
      <c r="AH2" s="142" t="s">
        <v>72</v>
      </c>
      <c r="AI2" s="142" t="s">
        <v>71</v>
      </c>
      <c r="AJ2" s="142" t="s">
        <v>72</v>
      </c>
      <c r="AK2" s="142" t="s">
        <v>71</v>
      </c>
      <c r="AL2" s="142" t="s">
        <v>72</v>
      </c>
      <c r="AM2" s="143" t="s">
        <v>71</v>
      </c>
      <c r="AN2" s="143" t="s">
        <v>72</v>
      </c>
      <c r="AO2" s="142" t="s">
        <v>71</v>
      </c>
      <c r="AP2" s="142" t="s">
        <v>72</v>
      </c>
      <c r="AQ2" s="142" t="s">
        <v>71</v>
      </c>
      <c r="AR2" s="142" t="s">
        <v>72</v>
      </c>
      <c r="AS2" s="142" t="s">
        <v>71</v>
      </c>
      <c r="AT2" s="142" t="s">
        <v>72</v>
      </c>
      <c r="AU2" s="142" t="s">
        <v>71</v>
      </c>
      <c r="AV2" s="142" t="s">
        <v>72</v>
      </c>
      <c r="AW2" s="142" t="s">
        <v>71</v>
      </c>
      <c r="AX2" s="142" t="s">
        <v>72</v>
      </c>
      <c r="AY2" s="142" t="s">
        <v>71</v>
      </c>
      <c r="AZ2" s="142" t="s">
        <v>72</v>
      </c>
      <c r="BA2" s="142" t="s">
        <v>71</v>
      </c>
      <c r="BB2" s="142" t="s">
        <v>72</v>
      </c>
      <c r="BC2" s="142" t="s">
        <v>71</v>
      </c>
      <c r="BD2" s="142" t="s">
        <v>72</v>
      </c>
      <c r="BE2" s="142" t="s">
        <v>71</v>
      </c>
      <c r="BF2" s="142" t="s">
        <v>72</v>
      </c>
      <c r="BG2" s="142" t="s">
        <v>71</v>
      </c>
      <c r="BH2" s="142" t="s">
        <v>72</v>
      </c>
      <c r="BI2" s="142" t="s">
        <v>71</v>
      </c>
      <c r="BJ2" s="142" t="s">
        <v>72</v>
      </c>
      <c r="BK2" s="142" t="s">
        <v>71</v>
      </c>
      <c r="BL2" s="142" t="s">
        <v>72</v>
      </c>
      <c r="BM2" s="142" t="s">
        <v>71</v>
      </c>
      <c r="BN2" s="142" t="s">
        <v>72</v>
      </c>
      <c r="BO2" s="142" t="s">
        <v>71</v>
      </c>
      <c r="BP2" s="142" t="s">
        <v>72</v>
      </c>
      <c r="BQ2" s="142" t="s">
        <v>71</v>
      </c>
      <c r="BR2" s="142" t="s">
        <v>72</v>
      </c>
      <c r="BS2" s="142" t="s">
        <v>71</v>
      </c>
      <c r="BT2" s="142" t="s">
        <v>72</v>
      </c>
      <c r="BU2" s="142" t="s">
        <v>71</v>
      </c>
      <c r="BV2" s="142" t="s">
        <v>72</v>
      </c>
      <c r="BW2" s="142" t="s">
        <v>71</v>
      </c>
      <c r="BX2" s="142" t="s">
        <v>72</v>
      </c>
      <c r="BY2" s="142" t="s">
        <v>71</v>
      </c>
      <c r="BZ2" s="142" t="s">
        <v>72</v>
      </c>
      <c r="CA2" s="143" t="s">
        <v>71</v>
      </c>
      <c r="CB2" s="143" t="s">
        <v>72</v>
      </c>
      <c r="CC2" s="142" t="s">
        <v>71</v>
      </c>
      <c r="CD2" s="142" t="s">
        <v>72</v>
      </c>
      <c r="CE2" s="141"/>
      <c r="CF2" s="141"/>
    </row>
    <row r="3" spans="1:84" s="27" customFormat="1" ht="15.75">
      <c r="A3" s="455" t="s">
        <v>117</v>
      </c>
      <c r="B3" s="456"/>
      <c r="C3" s="456"/>
      <c r="D3" s="45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08"/>
      <c r="AG3" s="26"/>
      <c r="AH3" s="26"/>
      <c r="AI3" s="26"/>
      <c r="AJ3" s="26"/>
      <c r="AK3" s="26"/>
      <c r="AL3" s="26"/>
      <c r="AM3" s="118"/>
      <c r="AN3" s="118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118"/>
      <c r="CB3" s="118"/>
      <c r="CC3" s="26"/>
      <c r="CD3" s="26"/>
      <c r="CE3" s="104"/>
      <c r="CF3" s="104"/>
    </row>
    <row r="4" spans="1:82" ht="15.75">
      <c r="A4" s="13" t="s">
        <v>73</v>
      </c>
      <c r="B4" s="28"/>
      <c r="C4" s="28"/>
      <c r="D4" s="28"/>
      <c r="E4" s="12">
        <v>0</v>
      </c>
      <c r="F4" s="12">
        <v>0</v>
      </c>
      <c r="G4" s="12">
        <v>0</v>
      </c>
      <c r="H4" s="12"/>
      <c r="I4" s="12"/>
      <c r="J4" s="12"/>
      <c r="K4" s="12"/>
      <c r="L4" s="12"/>
      <c r="M4" s="12"/>
      <c r="N4" s="12"/>
      <c r="O4" s="12"/>
      <c r="P4" s="12"/>
      <c r="Q4" s="12">
        <f>SUM(K4+M4-N4+O4-P4)</f>
        <v>0</v>
      </c>
      <c r="R4" s="12"/>
      <c r="S4" s="12"/>
      <c r="T4" s="12"/>
      <c r="U4" s="12"/>
      <c r="V4" s="12"/>
      <c r="W4" s="12">
        <f>SUM(Q4+S4-T4+U4-V4)</f>
        <v>0</v>
      </c>
      <c r="X4" s="12"/>
      <c r="Y4" s="12">
        <v>4342.6</v>
      </c>
      <c r="Z4" s="12"/>
      <c r="AA4" s="12"/>
      <c r="AB4" s="12"/>
      <c r="AC4" s="12">
        <f>SUM(W4+Y4-Z4+AA4-AB4)</f>
        <v>4342.6</v>
      </c>
      <c r="AD4" s="12"/>
      <c r="AE4" s="12">
        <v>7200</v>
      </c>
      <c r="AF4" s="12">
        <v>4342.6</v>
      </c>
      <c r="AG4" s="12"/>
      <c r="AH4" s="12"/>
      <c r="AI4" s="12">
        <f>SUM(AC4+AE4-AF4+AG4-AH4)</f>
        <v>7200</v>
      </c>
      <c r="AJ4" s="12"/>
      <c r="AK4" s="12"/>
      <c r="AL4" s="12">
        <v>7200</v>
      </c>
      <c r="AM4" s="12"/>
      <c r="AN4" s="12"/>
      <c r="AO4" s="12">
        <f>SUM(AI4+AK4-AL4+AM4-AN4)</f>
        <v>0</v>
      </c>
      <c r="AP4" s="12"/>
      <c r="AQ4" s="12">
        <v>30.59</v>
      </c>
      <c r="AR4" s="12"/>
      <c r="AS4" s="12"/>
      <c r="AT4" s="12"/>
      <c r="AU4" s="12">
        <f>SUM(AO4+AQ4-AR4+AS4-AT4)</f>
        <v>30.59</v>
      </c>
      <c r="AV4" s="12"/>
      <c r="AW4" s="12"/>
      <c r="AX4" s="12">
        <v>30.59</v>
      </c>
      <c r="AY4" s="12"/>
      <c r="AZ4" s="12"/>
      <c r="BA4" s="12">
        <f>SUM(AU4+AW4-AX4+AY4-AZ4)</f>
        <v>0</v>
      </c>
      <c r="BB4" s="12"/>
      <c r="BC4" s="12"/>
      <c r="BD4" s="12"/>
      <c r="BE4" s="12"/>
      <c r="BF4" s="12"/>
      <c r="BG4" s="12">
        <f>SUM(BA4+BC4-BD4+BE4-BF4)</f>
        <v>0</v>
      </c>
      <c r="BH4" s="12"/>
      <c r="BI4" s="12"/>
      <c r="BJ4" s="12"/>
      <c r="BK4" s="12"/>
      <c r="BL4" s="12"/>
      <c r="BM4" s="12">
        <f>SUM(BG4+BI4-BJ4+BK4-BL4)</f>
        <v>0</v>
      </c>
      <c r="BN4" s="12"/>
      <c r="BO4" s="12"/>
      <c r="BP4" s="12"/>
      <c r="BQ4" s="12"/>
      <c r="BR4" s="12"/>
      <c r="BS4" s="12">
        <f>SUM(BM4+BO4-BP4+BQ4-BR4)</f>
        <v>0</v>
      </c>
      <c r="BT4" s="12"/>
      <c r="BU4" s="12"/>
      <c r="BV4" s="12"/>
      <c r="BW4" s="12"/>
      <c r="BX4" s="12"/>
      <c r="BY4" s="12">
        <f>SUM(BS4+BU4-BV4+BW4-BX4)</f>
        <v>0</v>
      </c>
      <c r="BZ4" s="12"/>
      <c r="CA4" s="12"/>
      <c r="CB4" s="12"/>
      <c r="CC4" s="12">
        <f>SUM(BW4+BY4-BZ4+CA4-CB4)</f>
        <v>0</v>
      </c>
      <c r="CD4" s="12"/>
    </row>
    <row r="5" spans="1:84" s="140" customFormat="1" ht="15.75">
      <c r="A5" s="136" t="s">
        <v>74</v>
      </c>
      <c r="B5" s="137"/>
      <c r="C5" s="137"/>
      <c r="D5" s="137"/>
      <c r="E5" s="123">
        <f>SUM(E6:E17)</f>
        <v>23064949.07</v>
      </c>
      <c r="F5" s="123">
        <f aca="true" t="shared" si="0" ref="F5:BQ5">SUM(F6:F17)</f>
        <v>0</v>
      </c>
      <c r="G5" s="123">
        <f>SUM(G6:G17)</f>
        <v>2209222.4299999997</v>
      </c>
      <c r="H5" s="123">
        <f>SUM(H6:H17)</f>
        <v>2214510.8899999997</v>
      </c>
      <c r="I5" s="123">
        <f t="shared" si="0"/>
        <v>7214510.89</v>
      </c>
      <c r="J5" s="123">
        <f t="shared" si="0"/>
        <v>7214510.89</v>
      </c>
      <c r="K5" s="123">
        <f>SUM(K6:K17)</f>
        <v>23059660.61</v>
      </c>
      <c r="L5" s="123">
        <f t="shared" si="0"/>
        <v>0</v>
      </c>
      <c r="M5" s="123">
        <f t="shared" si="0"/>
        <v>7782425.51</v>
      </c>
      <c r="N5" s="123">
        <f t="shared" si="0"/>
        <v>3650544.99</v>
      </c>
      <c r="O5" s="123">
        <f t="shared" si="0"/>
        <v>3650544.99</v>
      </c>
      <c r="P5" s="123">
        <f t="shared" si="0"/>
        <v>3650544.99</v>
      </c>
      <c r="Q5" s="123">
        <f>SUM(Q6:Q17)</f>
        <v>27191541.129999995</v>
      </c>
      <c r="R5" s="123">
        <f t="shared" si="0"/>
        <v>0</v>
      </c>
      <c r="S5" s="123">
        <f t="shared" si="0"/>
        <v>9015072.25</v>
      </c>
      <c r="T5" s="123">
        <f t="shared" si="0"/>
        <v>3365305.97</v>
      </c>
      <c r="U5" s="123">
        <f t="shared" si="0"/>
        <v>8365305.970000001</v>
      </c>
      <c r="V5" s="123">
        <f t="shared" si="0"/>
        <v>8365305.970000001</v>
      </c>
      <c r="W5" s="123">
        <f t="shared" si="0"/>
        <v>32841307.409999996</v>
      </c>
      <c r="X5" s="123">
        <f t="shared" si="0"/>
        <v>0</v>
      </c>
      <c r="Y5" s="123">
        <f>SUM(Y6:Y17)</f>
        <v>4489922.54</v>
      </c>
      <c r="Z5" s="123">
        <f>SUM(Z6:Z17)</f>
        <v>4841180.57</v>
      </c>
      <c r="AA5" s="123">
        <f t="shared" si="0"/>
        <v>4841180.57</v>
      </c>
      <c r="AB5" s="123">
        <f t="shared" si="0"/>
        <v>4841180.57</v>
      </c>
      <c r="AC5" s="123">
        <f>SUM(AC6:AC17)</f>
        <v>32490049.379999995</v>
      </c>
      <c r="AD5" s="123">
        <f t="shared" si="0"/>
        <v>0</v>
      </c>
      <c r="AE5" s="123">
        <f>SUM(AE6:AE17)</f>
        <v>2303254.13</v>
      </c>
      <c r="AF5" s="123">
        <f>SUM(AF6:AF17)</f>
        <v>2626581.41</v>
      </c>
      <c r="AG5" s="123">
        <f>SUM(AG6:AG17)</f>
        <v>7626581.41</v>
      </c>
      <c r="AH5" s="123">
        <f>SUM(AH6:AH17)</f>
        <v>7626581.41</v>
      </c>
      <c r="AI5" s="123">
        <f>SUM(AI6:AI17)</f>
        <v>32166722.099999994</v>
      </c>
      <c r="AJ5" s="123">
        <f t="shared" si="0"/>
        <v>0</v>
      </c>
      <c r="AK5" s="123">
        <f>SUM(AK6:AK17)</f>
        <v>11824612.02</v>
      </c>
      <c r="AL5" s="123">
        <f t="shared" si="0"/>
        <v>8794959.51</v>
      </c>
      <c r="AM5" s="138">
        <f t="shared" si="0"/>
        <v>18794959.509999998</v>
      </c>
      <c r="AN5" s="138">
        <f t="shared" si="0"/>
        <v>18794959.509999998</v>
      </c>
      <c r="AO5" s="123">
        <f>SUM(AO6:AO17)</f>
        <v>35196374.60999999</v>
      </c>
      <c r="AP5" s="123">
        <f t="shared" si="0"/>
        <v>0</v>
      </c>
      <c r="AQ5" s="123">
        <f t="shared" si="0"/>
        <v>9493257.04</v>
      </c>
      <c r="AR5" s="123">
        <f t="shared" si="0"/>
        <v>10248009.9</v>
      </c>
      <c r="AS5" s="123">
        <f t="shared" si="0"/>
        <v>10249009.9</v>
      </c>
      <c r="AT5" s="123">
        <f t="shared" si="0"/>
        <v>10248009.9</v>
      </c>
      <c r="AU5" s="123">
        <f>SUM(AU6:AU17)</f>
        <v>34442621.75</v>
      </c>
      <c r="AV5" s="123">
        <f t="shared" si="0"/>
        <v>0</v>
      </c>
      <c r="AW5" s="123">
        <f>SUM(AW6:AW17)</f>
        <v>9337400.940000001</v>
      </c>
      <c r="AX5" s="123">
        <f>SUM(AX6:AX17)</f>
        <v>10613206.9</v>
      </c>
      <c r="AY5" s="123">
        <f t="shared" si="0"/>
        <v>10613206.9</v>
      </c>
      <c r="AZ5" s="123">
        <f>SUM(AZ6:AZ17)</f>
        <v>10613206.9</v>
      </c>
      <c r="BA5" s="123">
        <f>SUM(BA6:BA17)</f>
        <v>33166815.79</v>
      </c>
      <c r="BB5" s="123">
        <f t="shared" si="0"/>
        <v>0</v>
      </c>
      <c r="BC5" s="123">
        <f t="shared" si="0"/>
        <v>0</v>
      </c>
      <c r="BD5" s="123">
        <f t="shared" si="0"/>
        <v>0</v>
      </c>
      <c r="BE5" s="123">
        <f t="shared" si="0"/>
        <v>0</v>
      </c>
      <c r="BF5" s="123">
        <f t="shared" si="0"/>
        <v>0</v>
      </c>
      <c r="BG5" s="123">
        <f>SUM(BG6:BG17)</f>
        <v>33166815.79</v>
      </c>
      <c r="BH5" s="123">
        <f t="shared" si="0"/>
        <v>0</v>
      </c>
      <c r="BI5" s="123">
        <f t="shared" si="0"/>
        <v>0</v>
      </c>
      <c r="BJ5" s="123">
        <f t="shared" si="0"/>
        <v>0</v>
      </c>
      <c r="BK5" s="123">
        <f t="shared" si="0"/>
        <v>0</v>
      </c>
      <c r="BL5" s="123">
        <f t="shared" si="0"/>
        <v>0</v>
      </c>
      <c r="BM5" s="123">
        <f>SUM(BM6:BM17)</f>
        <v>33166815.79</v>
      </c>
      <c r="BN5" s="123">
        <f t="shared" si="0"/>
        <v>0</v>
      </c>
      <c r="BO5" s="123">
        <f t="shared" si="0"/>
        <v>0</v>
      </c>
      <c r="BP5" s="123">
        <f t="shared" si="0"/>
        <v>0</v>
      </c>
      <c r="BQ5" s="123">
        <f t="shared" si="0"/>
        <v>0</v>
      </c>
      <c r="BR5" s="123">
        <f aca="true" t="shared" si="1" ref="BR5:CB5">SUM(BR6:BR17)</f>
        <v>0</v>
      </c>
      <c r="BS5" s="123">
        <f t="shared" si="1"/>
        <v>33166815.79</v>
      </c>
      <c r="BT5" s="123">
        <f t="shared" si="1"/>
        <v>0</v>
      </c>
      <c r="BU5" s="123">
        <f t="shared" si="1"/>
        <v>0</v>
      </c>
      <c r="BV5" s="123">
        <f t="shared" si="1"/>
        <v>0</v>
      </c>
      <c r="BW5" s="123">
        <f t="shared" si="1"/>
        <v>0</v>
      </c>
      <c r="BX5" s="123">
        <f t="shared" si="1"/>
        <v>0</v>
      </c>
      <c r="BY5" s="123">
        <f>SUM(BY6:BY17)</f>
        <v>33166815.79</v>
      </c>
      <c r="BZ5" s="123">
        <f t="shared" si="1"/>
        <v>0</v>
      </c>
      <c r="CA5" s="138">
        <f>SUM(CA6:CA17)</f>
        <v>0</v>
      </c>
      <c r="CB5" s="138">
        <f t="shared" si="1"/>
        <v>0</v>
      </c>
      <c r="CC5" s="123">
        <f>SUM(CC6:CC17)</f>
        <v>33166815.79</v>
      </c>
      <c r="CD5" s="123">
        <f>SUM(CD6:CD17)</f>
        <v>0</v>
      </c>
      <c r="CE5" s="139"/>
      <c r="CF5" s="139"/>
    </row>
    <row r="6" spans="1:82" ht="15.75">
      <c r="A6" s="13"/>
      <c r="B6" s="28" t="s">
        <v>113</v>
      </c>
      <c r="C6" s="28"/>
      <c r="D6" s="2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200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</row>
    <row r="7" spans="1:82" ht="15.75">
      <c r="A7" s="13"/>
      <c r="B7" s="28"/>
      <c r="C7" s="28" t="s">
        <v>75</v>
      </c>
      <c r="D7" s="28"/>
      <c r="E7" s="12">
        <v>0</v>
      </c>
      <c r="F7" s="12"/>
      <c r="G7" s="12"/>
      <c r="H7" s="12">
        <v>676598</v>
      </c>
      <c r="I7" s="12">
        <v>676598</v>
      </c>
      <c r="J7" s="12"/>
      <c r="K7" s="12">
        <f>SUM(E7+G7-H7+I7-J7)</f>
        <v>0</v>
      </c>
      <c r="L7" s="12"/>
      <c r="M7" s="12"/>
      <c r="N7" s="12">
        <v>956702</v>
      </c>
      <c r="O7" s="12">
        <v>956702</v>
      </c>
      <c r="P7" s="12"/>
      <c r="Q7" s="12">
        <f>SUM(K7+M7-N7+O7-P7)</f>
        <v>0</v>
      </c>
      <c r="R7" s="12"/>
      <c r="S7" s="12"/>
      <c r="T7" s="12">
        <v>836440.23</v>
      </c>
      <c r="U7" s="12">
        <v>836440.23</v>
      </c>
      <c r="V7" s="12"/>
      <c r="W7" s="12">
        <f>SUM(Q7+S7-T7+U7-V7)</f>
        <v>0</v>
      </c>
      <c r="X7" s="12"/>
      <c r="Y7" s="12"/>
      <c r="Z7" s="12">
        <v>852772</v>
      </c>
      <c r="AA7" s="12">
        <v>852772</v>
      </c>
      <c r="AB7" s="12"/>
      <c r="AC7" s="12">
        <f>SUM(W7+Y7-Z7+AA7-AB7)</f>
        <v>0</v>
      </c>
      <c r="AD7" s="12"/>
      <c r="AE7" s="12"/>
      <c r="AF7" s="12">
        <v>843537</v>
      </c>
      <c r="AG7" s="12">
        <f>+AF7</f>
        <v>843537</v>
      </c>
      <c r="AH7" s="12"/>
      <c r="AI7" s="12">
        <f>SUM(AC7+AE7-AF7+AG7-AH7)</f>
        <v>0</v>
      </c>
      <c r="AJ7" s="12"/>
      <c r="AK7" s="12"/>
      <c r="AL7" s="12">
        <v>913074</v>
      </c>
      <c r="AM7" s="12">
        <f>+AL7</f>
        <v>913074</v>
      </c>
      <c r="AN7" s="12"/>
      <c r="AO7" s="12">
        <f>SUM(AI7+AK7-AL7+AM7-AN7)</f>
        <v>0</v>
      </c>
      <c r="AP7" s="12"/>
      <c r="AQ7" s="12"/>
      <c r="AR7" s="12">
        <v>8491674.76</v>
      </c>
      <c r="AS7" s="12">
        <f>+AR7</f>
        <v>8491674.76</v>
      </c>
      <c r="AT7" s="12"/>
      <c r="AU7" s="12">
        <f>SUM(AO7+AQ7-AR7+AS7-AT7)</f>
        <v>0</v>
      </c>
      <c r="AV7" s="12"/>
      <c r="AW7" s="12"/>
      <c r="AX7" s="12">
        <v>7073665.04</v>
      </c>
      <c r="AY7" s="12">
        <v>7073665.04</v>
      </c>
      <c r="AZ7" s="12"/>
      <c r="BA7" s="12">
        <f>SUM(AU7+AW7-AX7+AY7-AZ7)</f>
        <v>0</v>
      </c>
      <c r="BB7" s="12"/>
      <c r="BC7" s="12"/>
      <c r="BD7" s="12"/>
      <c r="BE7" s="12">
        <f>+BD7</f>
        <v>0</v>
      </c>
      <c r="BF7" s="12"/>
      <c r="BG7" s="12">
        <f>SUM(BA7+BC7-BD7+BE7-BF7)</f>
        <v>0</v>
      </c>
      <c r="BH7" s="12"/>
      <c r="BI7" s="12"/>
      <c r="BJ7" s="12"/>
      <c r="BK7" s="12"/>
      <c r="BL7" s="12"/>
      <c r="BM7" s="12">
        <f>SUM(BG7+BI7-BJ7+BK7-BL7)</f>
        <v>0</v>
      </c>
      <c r="BN7" s="12"/>
      <c r="BO7" s="12"/>
      <c r="BP7" s="12"/>
      <c r="BQ7" s="12"/>
      <c r="BR7" s="12"/>
      <c r="BS7" s="12">
        <f>SUM(BM7+BO7-BP7+BQ7-BR7)</f>
        <v>0</v>
      </c>
      <c r="BT7" s="12"/>
      <c r="BU7" s="12"/>
      <c r="BV7" s="12"/>
      <c r="BW7" s="12"/>
      <c r="BX7" s="12"/>
      <c r="BY7" s="12">
        <f>SUM(BS7+BU7-BV7+BW7-BX7)</f>
        <v>0</v>
      </c>
      <c r="BZ7" s="12"/>
      <c r="CA7" s="12"/>
      <c r="CB7" s="12"/>
      <c r="CC7" s="12">
        <f>+BY7+CA7-BZ7-CB7</f>
        <v>0</v>
      </c>
      <c r="CD7" s="12"/>
    </row>
    <row r="8" spans="1:82" ht="15.75">
      <c r="A8" s="13"/>
      <c r="B8" s="28" t="s">
        <v>114</v>
      </c>
      <c r="C8" s="28"/>
      <c r="D8" s="2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200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</row>
    <row r="9" spans="1:82" ht="15.75">
      <c r="A9" s="13"/>
      <c r="B9" s="28"/>
      <c r="C9" s="28" t="s">
        <v>76</v>
      </c>
      <c r="D9" s="28"/>
      <c r="E9" s="12">
        <v>0</v>
      </c>
      <c r="F9" s="12"/>
      <c r="G9" s="12"/>
      <c r="H9" s="12">
        <v>1537912.89</v>
      </c>
      <c r="I9" s="12">
        <v>1537912.89</v>
      </c>
      <c r="J9" s="12"/>
      <c r="K9" s="12">
        <f>SUM(E9+G9-H9+I9-J9)</f>
        <v>0</v>
      </c>
      <c r="L9" s="12"/>
      <c r="M9" s="12"/>
      <c r="N9" s="12">
        <v>2693842.99</v>
      </c>
      <c r="O9" s="12">
        <v>2693842.99</v>
      </c>
      <c r="P9" s="12"/>
      <c r="Q9" s="12">
        <f>SUM(K9+M9-N9+O9-P9)</f>
        <v>0</v>
      </c>
      <c r="R9" s="12"/>
      <c r="S9" s="12"/>
      <c r="T9" s="12">
        <v>2528865.74</v>
      </c>
      <c r="U9" s="12">
        <v>2528865.74</v>
      </c>
      <c r="V9" s="12"/>
      <c r="W9" s="12">
        <f>SUM(Q9+S9-T9+U9-V9)</f>
        <v>0</v>
      </c>
      <c r="X9" s="12"/>
      <c r="Y9" s="12"/>
      <c r="Z9" s="12">
        <v>3988408.57</v>
      </c>
      <c r="AA9" s="12">
        <v>3988408.57</v>
      </c>
      <c r="AB9" s="12"/>
      <c r="AC9" s="12">
        <f>SUM(W9+Y9-Z9+AA9-AB9)</f>
        <v>0</v>
      </c>
      <c r="AD9" s="12"/>
      <c r="AE9" s="12"/>
      <c r="AF9" s="12">
        <v>1783044.41</v>
      </c>
      <c r="AG9" s="12">
        <f>+AF9</f>
        <v>1783044.41</v>
      </c>
      <c r="AH9" s="12"/>
      <c r="AI9" s="12">
        <f>SUM(AC9+AE9-AF9+AG9-AH9)</f>
        <v>0</v>
      </c>
      <c r="AJ9" s="12"/>
      <c r="AK9" s="12"/>
      <c r="AL9" s="12">
        <v>7881885.51</v>
      </c>
      <c r="AM9" s="12">
        <f>+AL9</f>
        <v>7881885.51</v>
      </c>
      <c r="AN9" s="12"/>
      <c r="AO9" s="12">
        <f>SUM(AI9+AK9-AL9+AM9-AN9)</f>
        <v>0</v>
      </c>
      <c r="AP9" s="12"/>
      <c r="AQ9" s="12"/>
      <c r="AR9" s="12">
        <v>1756335.14</v>
      </c>
      <c r="AS9" s="12">
        <f>+AR9</f>
        <v>1756335.14</v>
      </c>
      <c r="AT9" s="12"/>
      <c r="AU9" s="12">
        <f>SUM(AO9+AQ9-AR9+AS9-AT9)</f>
        <v>0</v>
      </c>
      <c r="AV9" s="12"/>
      <c r="AW9" s="12"/>
      <c r="AX9" s="12">
        <v>3539541.86</v>
      </c>
      <c r="AY9" s="12">
        <v>3539541.86</v>
      </c>
      <c r="AZ9" s="12"/>
      <c r="BA9" s="12">
        <f>SUM(AU9+AW9-AX9+AY9-AZ9)</f>
        <v>0</v>
      </c>
      <c r="BB9" s="12"/>
      <c r="BC9" s="12"/>
      <c r="BD9" s="12"/>
      <c r="BE9" s="12">
        <f>+BD9</f>
        <v>0</v>
      </c>
      <c r="BF9" s="12"/>
      <c r="BG9" s="12">
        <f>SUM(BA9+BC9-BD9+BE9-BF9)</f>
        <v>0</v>
      </c>
      <c r="BH9" s="12"/>
      <c r="BI9" s="12"/>
      <c r="BJ9" s="12"/>
      <c r="BK9" s="12"/>
      <c r="BL9" s="12"/>
      <c r="BM9" s="12">
        <f>SUM(BG9+BI9-BJ9+BK9-BL9)</f>
        <v>0</v>
      </c>
      <c r="BN9" s="12"/>
      <c r="BO9" s="12"/>
      <c r="BP9" s="12"/>
      <c r="BQ9" s="12"/>
      <c r="BR9" s="12"/>
      <c r="BS9" s="12">
        <f>SUM(BM9+BO9-BP9+BQ9-BR9)</f>
        <v>0</v>
      </c>
      <c r="BT9" s="12"/>
      <c r="BU9" s="12"/>
      <c r="BV9" s="12"/>
      <c r="BW9" s="12"/>
      <c r="BX9" s="12"/>
      <c r="BY9" s="12">
        <f>SUM(BS9+BU9-BV9+BW9-BX9)</f>
        <v>0</v>
      </c>
      <c r="BZ9" s="12"/>
      <c r="CA9" s="12"/>
      <c r="CB9" s="12"/>
      <c r="CC9" s="12">
        <f>+BY9+CA9-BZ9-CB9</f>
        <v>0</v>
      </c>
      <c r="CD9" s="12"/>
    </row>
    <row r="10" spans="1:82" ht="15.75">
      <c r="A10" s="13"/>
      <c r="B10" s="28" t="s">
        <v>115</v>
      </c>
      <c r="C10" s="28"/>
      <c r="D10" s="28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200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03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</row>
    <row r="11" spans="1:84" s="27" customFormat="1" ht="15.75">
      <c r="A11" s="99"/>
      <c r="B11" s="100"/>
      <c r="C11" s="100" t="s">
        <v>77</v>
      </c>
      <c r="D11" s="100"/>
      <c r="E11" s="101">
        <v>22283560.82</v>
      </c>
      <c r="F11" s="101"/>
      <c r="G11" s="101">
        <f>1182309.14+286833.29</f>
        <v>1469142.43</v>
      </c>
      <c r="H11" s="101"/>
      <c r="I11" s="101"/>
      <c r="J11" s="101">
        <f>676598+5000000</f>
        <v>5676598</v>
      </c>
      <c r="K11" s="12">
        <f aca="true" t="shared" si="2" ref="K11:K19">SUM(E11+G11-H11+I11-J11)</f>
        <v>18076105.25</v>
      </c>
      <c r="L11" s="101"/>
      <c r="M11" s="101">
        <v>7648645.51</v>
      </c>
      <c r="N11" s="101"/>
      <c r="O11" s="101"/>
      <c r="P11" s="101">
        <v>956702</v>
      </c>
      <c r="Q11" s="101">
        <f>SUM(K11+M11-N11+O11-P11)</f>
        <v>24768048.759999998</v>
      </c>
      <c r="R11" s="101"/>
      <c r="S11" s="101">
        <v>8656952.25</v>
      </c>
      <c r="T11" s="101"/>
      <c r="U11" s="101"/>
      <c r="V11" s="101">
        <f>836440.23+5000000</f>
        <v>5836440.23</v>
      </c>
      <c r="W11" s="101">
        <f>SUM(Q11+S11-T11+U11-V11)</f>
        <v>27588560.779999997</v>
      </c>
      <c r="X11" s="101"/>
      <c r="Y11" s="101">
        <v>4165514.4</v>
      </c>
      <c r="Z11" s="101"/>
      <c r="AA11" s="101"/>
      <c r="AB11" s="101">
        <v>852772</v>
      </c>
      <c r="AC11" s="101">
        <f>SUM(W11+Y11-Z11+AA11-AB11)</f>
        <v>30901303.179999996</v>
      </c>
      <c r="AD11" s="101"/>
      <c r="AE11" s="101">
        <v>1800145.7</v>
      </c>
      <c r="AF11" s="119"/>
      <c r="AG11" s="101"/>
      <c r="AH11" s="101">
        <f>+AG7+5000000</f>
        <v>5843537</v>
      </c>
      <c r="AI11" s="101">
        <f>SUM(AC11+AE11-AF11+AG11-AH11)</f>
        <v>26857911.879999995</v>
      </c>
      <c r="AJ11" s="101"/>
      <c r="AK11" s="101">
        <f>11497840.62-9800</f>
        <v>11488040.62</v>
      </c>
      <c r="AL11" s="101"/>
      <c r="AM11" s="101"/>
      <c r="AN11" s="101">
        <f>913074+10000000</f>
        <v>10913074</v>
      </c>
      <c r="AO11" s="101">
        <f>SUM(AI11+AK11-AL11+AM11-AN11)</f>
        <v>27432878.499999993</v>
      </c>
      <c r="AP11" s="101"/>
      <c r="AQ11" s="101">
        <v>9084809.67</v>
      </c>
      <c r="AR11" s="101"/>
      <c r="AS11" s="101"/>
      <c r="AT11" s="101">
        <f>+AS7</f>
        <v>8491674.76</v>
      </c>
      <c r="AU11" s="101">
        <f>SUM(AO11+AQ11-AR11+AS11-AT11)</f>
        <v>28026013.409999996</v>
      </c>
      <c r="AV11" s="101"/>
      <c r="AW11" s="410">
        <v>9259885.23</v>
      </c>
      <c r="AX11" s="101"/>
      <c r="AY11" s="101"/>
      <c r="AZ11" s="101">
        <v>7073665.04</v>
      </c>
      <c r="BA11" s="101">
        <f>SUM(AU11+AW11-AX11+AY11-AZ11)</f>
        <v>30212233.6</v>
      </c>
      <c r="BB11" s="101"/>
      <c r="BC11" s="101"/>
      <c r="BD11" s="101"/>
      <c r="BE11" s="101"/>
      <c r="BF11" s="101"/>
      <c r="BG11" s="101">
        <f>SUM(BA11+BC11-BD11+BE11-BF11)</f>
        <v>30212233.6</v>
      </c>
      <c r="BH11" s="101"/>
      <c r="BI11" s="101"/>
      <c r="BJ11" s="101"/>
      <c r="BK11" s="101"/>
      <c r="BL11" s="101"/>
      <c r="BM11" s="101">
        <f>SUM(BG11+BI11-BJ11+BK11-BL11)</f>
        <v>30212233.6</v>
      </c>
      <c r="BN11" s="101"/>
      <c r="BO11" s="101"/>
      <c r="BP11" s="101"/>
      <c r="BQ11" s="101"/>
      <c r="BR11" s="101"/>
      <c r="BS11" s="12">
        <f>SUM(BM11+BO11-BP11+BQ11-BR11)</f>
        <v>30212233.6</v>
      </c>
      <c r="BT11" s="101"/>
      <c r="BU11" s="101"/>
      <c r="BV11" s="101"/>
      <c r="BW11" s="101"/>
      <c r="BX11" s="101"/>
      <c r="BY11" s="101">
        <f>SUM(BS11+BU11-BV11+BW11-BX11)</f>
        <v>30212233.6</v>
      </c>
      <c r="BZ11" s="101"/>
      <c r="CA11" s="101"/>
      <c r="CB11" s="101"/>
      <c r="CC11" s="101">
        <f>+BY11+CA11-BZ11-CB11</f>
        <v>30212233.6</v>
      </c>
      <c r="CD11" s="101"/>
      <c r="CE11" s="104">
        <v>24774498.39</v>
      </c>
      <c r="CF11" s="104">
        <f>+CE11-BS11</f>
        <v>-5437735.210000001</v>
      </c>
    </row>
    <row r="12" spans="1:84" s="27" customFormat="1" ht="15.75" hidden="1">
      <c r="A12" s="99"/>
      <c r="B12" s="100"/>
      <c r="C12" s="100" t="s">
        <v>78</v>
      </c>
      <c r="D12" s="100"/>
      <c r="E12" s="101"/>
      <c r="F12" s="101"/>
      <c r="G12" s="101"/>
      <c r="H12" s="101"/>
      <c r="I12" s="101"/>
      <c r="J12" s="101"/>
      <c r="K12" s="12">
        <f t="shared" si="2"/>
        <v>0</v>
      </c>
      <c r="L12" s="101"/>
      <c r="M12" s="101"/>
      <c r="N12" s="101"/>
      <c r="O12" s="101"/>
      <c r="P12" s="101"/>
      <c r="Q12" s="101">
        <f>SUM(K12+M12-N12+O12-P12)</f>
        <v>0</v>
      </c>
      <c r="R12" s="101"/>
      <c r="S12" s="101"/>
      <c r="T12" s="101"/>
      <c r="U12" s="101"/>
      <c r="V12" s="101"/>
      <c r="W12" s="101">
        <f>SUM(Q12+S12-T12+U12-V12)</f>
        <v>0</v>
      </c>
      <c r="X12" s="101"/>
      <c r="Y12" s="101"/>
      <c r="Z12" s="101"/>
      <c r="AA12" s="101"/>
      <c r="AB12" s="101"/>
      <c r="AC12" s="101">
        <f>SUM(W12+Y12-Z12+AA12-AB12)</f>
        <v>0</v>
      </c>
      <c r="AD12" s="101"/>
      <c r="AE12" s="101"/>
      <c r="AF12" s="119"/>
      <c r="AG12" s="101"/>
      <c r="AH12" s="101"/>
      <c r="AI12" s="101">
        <f>SUM(AC12+AE12-AF12+AG12-AH12)</f>
        <v>0</v>
      </c>
      <c r="AJ12" s="101"/>
      <c r="AK12" s="101"/>
      <c r="AL12" s="101"/>
      <c r="AM12" s="101"/>
      <c r="AN12" s="101"/>
      <c r="AO12" s="101">
        <f>SUM(AI12+AK12-AL12+AM12-AN12)</f>
        <v>0</v>
      </c>
      <c r="AP12" s="101"/>
      <c r="AQ12" s="101"/>
      <c r="AR12" s="101"/>
      <c r="AS12" s="101"/>
      <c r="AT12" s="101"/>
      <c r="AU12" s="101">
        <f>SUM(AO12+AQ12-AR12+AS12-AT12)</f>
        <v>0</v>
      </c>
      <c r="AV12" s="101"/>
      <c r="AW12" s="101"/>
      <c r="AX12" s="101"/>
      <c r="AY12" s="101"/>
      <c r="AZ12" s="101"/>
      <c r="BA12" s="101">
        <f>SUM(AU12+AW12-AX12+AY12-AZ12)</f>
        <v>0</v>
      </c>
      <c r="BB12" s="101"/>
      <c r="BC12" s="101"/>
      <c r="BD12" s="101"/>
      <c r="BE12" s="101"/>
      <c r="BF12" s="101"/>
      <c r="BG12" s="101">
        <f>SUM(BA12+BC12-BD12+BE12-BF12)</f>
        <v>0</v>
      </c>
      <c r="BH12" s="101"/>
      <c r="BI12" s="101"/>
      <c r="BJ12" s="101"/>
      <c r="BK12" s="101"/>
      <c r="BL12" s="101"/>
      <c r="BM12" s="101">
        <f>SUM(BG12+BI12-BJ12+BK12-BL12)</f>
        <v>0</v>
      </c>
      <c r="BN12" s="101"/>
      <c r="BO12" s="101"/>
      <c r="BP12" s="101"/>
      <c r="BQ12" s="101"/>
      <c r="BR12" s="101"/>
      <c r="BS12" s="101">
        <f>SUM(BM12+BO12-BP12+BQ12-BR12)</f>
        <v>0</v>
      </c>
      <c r="BT12" s="101"/>
      <c r="BU12" s="101"/>
      <c r="BV12" s="101"/>
      <c r="BW12" s="101"/>
      <c r="BX12" s="101"/>
      <c r="BY12" s="101">
        <f>SUM(BS12+BU12-BV12+BW12-BX12)</f>
        <v>0</v>
      </c>
      <c r="BZ12" s="101"/>
      <c r="CA12" s="101"/>
      <c r="CB12" s="101"/>
      <c r="CC12" s="101">
        <f>SUM(BW12+BY12-BZ12+CA12-CB12)</f>
        <v>0</v>
      </c>
      <c r="CD12" s="101"/>
      <c r="CE12" s="104"/>
      <c r="CF12" s="104"/>
    </row>
    <row r="13" spans="1:84" s="27" customFormat="1" ht="15.75">
      <c r="A13" s="99"/>
      <c r="B13" s="100" t="s">
        <v>116</v>
      </c>
      <c r="C13" s="100"/>
      <c r="D13" s="100"/>
      <c r="E13" s="101"/>
      <c r="F13" s="101"/>
      <c r="G13" s="101"/>
      <c r="H13" s="101"/>
      <c r="I13" s="101"/>
      <c r="J13" s="101"/>
      <c r="K13" s="12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19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4"/>
      <c r="CF13" s="104"/>
    </row>
    <row r="14" spans="1:84" s="27" customFormat="1" ht="15.75">
      <c r="A14" s="99"/>
      <c r="B14" s="100"/>
      <c r="C14" s="100" t="s">
        <v>79</v>
      </c>
      <c r="D14" s="100"/>
      <c r="E14" s="101">
        <v>762587.1</v>
      </c>
      <c r="F14" s="101"/>
      <c r="G14" s="101">
        <v>740080</v>
      </c>
      <c r="H14" s="101"/>
      <c r="I14" s="101">
        <v>5000000</v>
      </c>
      <c r="J14" s="101">
        <v>1537912.89</v>
      </c>
      <c r="K14" s="12">
        <f t="shared" si="2"/>
        <v>4964754.21</v>
      </c>
      <c r="L14" s="101"/>
      <c r="M14" s="101">
        <v>133780</v>
      </c>
      <c r="N14" s="101"/>
      <c r="O14" s="101"/>
      <c r="P14" s="101">
        <v>2693842.99</v>
      </c>
      <c r="Q14" s="101">
        <f>SUM(K14+M14-N14+O14-P14)</f>
        <v>2404691.2199999997</v>
      </c>
      <c r="R14" s="101"/>
      <c r="S14" s="101">
        <v>358120</v>
      </c>
      <c r="T14" s="101"/>
      <c r="U14" s="101">
        <v>5000000</v>
      </c>
      <c r="V14" s="101">
        <v>2528865.74</v>
      </c>
      <c r="W14" s="101">
        <f>SUM(Q14+S14-T14+U14-V14)</f>
        <v>5233945.4799999995</v>
      </c>
      <c r="X14" s="101"/>
      <c r="Y14" s="101">
        <v>319493.14</v>
      </c>
      <c r="Z14" s="101"/>
      <c r="AA14" s="101"/>
      <c r="AB14" s="101">
        <v>3988408.57</v>
      </c>
      <c r="AC14" s="101">
        <f>SUM(W14+Y14-Z14+AA14-AB14)</f>
        <v>1565030.0499999993</v>
      </c>
      <c r="AD14" s="101"/>
      <c r="AE14" s="101">
        <v>503108.43</v>
      </c>
      <c r="AF14" s="119"/>
      <c r="AG14" s="101">
        <v>5000000</v>
      </c>
      <c r="AH14" s="101">
        <f>+AG9</f>
        <v>1783044.41</v>
      </c>
      <c r="AI14" s="101">
        <f>SUM(AC14+AE14-AF14+AG14-AH14)</f>
        <v>5285094.069999999</v>
      </c>
      <c r="AJ14" s="101"/>
      <c r="AK14" s="101">
        <f>326720.49+9800</f>
        <v>336520.49</v>
      </c>
      <c r="AL14" s="101"/>
      <c r="AM14" s="101">
        <v>10000000</v>
      </c>
      <c r="AN14" s="101">
        <f>+AM9</f>
        <v>7881885.51</v>
      </c>
      <c r="AO14" s="101">
        <f>SUM(AI14+AK14-AL14+AM14-AN14)</f>
        <v>7739729.049999999</v>
      </c>
      <c r="AP14" s="101"/>
      <c r="AQ14" s="101">
        <v>408447.37</v>
      </c>
      <c r="AR14" s="101"/>
      <c r="AS14" s="101">
        <v>1000</v>
      </c>
      <c r="AT14" s="101">
        <f>+AS9</f>
        <v>1756335.14</v>
      </c>
      <c r="AU14" s="101">
        <f>SUM(AO14+AQ14-AR14+AS14-AT14)</f>
        <v>6392841.279999999</v>
      </c>
      <c r="AV14" s="101"/>
      <c r="AW14" s="101">
        <v>77515.71</v>
      </c>
      <c r="AX14" s="101"/>
      <c r="AY14" s="101"/>
      <c r="AZ14" s="101">
        <v>3539541.86</v>
      </c>
      <c r="BA14" s="101">
        <f>SUM(AU14+AW14-AX14+AY14-AZ14)</f>
        <v>2930815.1299999994</v>
      </c>
      <c r="BB14" s="101"/>
      <c r="BC14" s="101"/>
      <c r="BD14" s="101"/>
      <c r="BE14" s="101"/>
      <c r="BF14" s="101"/>
      <c r="BG14" s="101">
        <f aca="true" t="shared" si="3" ref="BG14:BG24">SUM(BA14+BC14-BD14+BE14-BF14)</f>
        <v>2930815.1299999994</v>
      </c>
      <c r="BH14" s="101"/>
      <c r="BI14" s="101"/>
      <c r="BJ14" s="101"/>
      <c r="BK14" s="101"/>
      <c r="BL14" s="101"/>
      <c r="BM14" s="101">
        <f>SUM(BG14+BI14-BJ14+BK14-BL14)</f>
        <v>2930815.1299999994</v>
      </c>
      <c r="BN14" s="101"/>
      <c r="BO14" s="101"/>
      <c r="BP14" s="101"/>
      <c r="BQ14" s="101"/>
      <c r="BR14" s="101"/>
      <c r="BS14" s="101">
        <f>SUM(BM14+BO14-BP14+BQ14-BR14)</f>
        <v>2930815.1299999994</v>
      </c>
      <c r="BT14" s="101"/>
      <c r="BU14" s="101"/>
      <c r="BV14" s="101"/>
      <c r="BW14" s="101"/>
      <c r="BX14" s="101"/>
      <c r="BY14" s="101">
        <f>SUM(BS14+BU14-BV14+BW14-BX14)</f>
        <v>2930815.1299999994</v>
      </c>
      <c r="BZ14" s="101"/>
      <c r="CA14" s="101"/>
      <c r="CB14" s="101"/>
      <c r="CC14" s="101">
        <f>+BY14+CA14-BZ14-CB14</f>
        <v>2930815.1299999994</v>
      </c>
      <c r="CD14" s="101"/>
      <c r="CE14" s="104"/>
      <c r="CF14" s="104"/>
    </row>
    <row r="15" spans="1:82" ht="15.75">
      <c r="A15" s="13"/>
      <c r="B15" s="28"/>
      <c r="C15" s="28" t="s">
        <v>80</v>
      </c>
      <c r="D15" s="28"/>
      <c r="E15" s="12">
        <v>18801.15</v>
      </c>
      <c r="F15" s="12"/>
      <c r="G15" s="12"/>
      <c r="H15" s="12"/>
      <c r="I15" s="12"/>
      <c r="J15" s="12"/>
      <c r="K15" s="12">
        <f t="shared" si="2"/>
        <v>18801.15</v>
      </c>
      <c r="L15" s="12"/>
      <c r="M15" s="12"/>
      <c r="N15" s="12"/>
      <c r="O15" s="12"/>
      <c r="P15" s="12"/>
      <c r="Q15" s="12">
        <f aca="true" t="shared" si="4" ref="Q15:Q23">SUM(K15+M15-N15+O15-P15)</f>
        <v>18801.15</v>
      </c>
      <c r="R15" s="12"/>
      <c r="S15" s="12"/>
      <c r="T15" s="12"/>
      <c r="U15" s="12"/>
      <c r="V15" s="12"/>
      <c r="W15" s="12">
        <f aca="true" t="shared" si="5" ref="W15:W22">SUM(Q15+S15-T15+U15-V15)</f>
        <v>18801.15</v>
      </c>
      <c r="X15" s="12"/>
      <c r="Y15" s="12">
        <v>4915</v>
      </c>
      <c r="Z15" s="12"/>
      <c r="AA15" s="12"/>
      <c r="AB15" s="12"/>
      <c r="AC15" s="12">
        <f aca="true" t="shared" si="6" ref="AC15:AC23">SUM(W15+Y15-Z15+AA15-AB15)</f>
        <v>23716.15</v>
      </c>
      <c r="AD15" s="12"/>
      <c r="AE15" s="12"/>
      <c r="AF15" s="200"/>
      <c r="AG15" s="12"/>
      <c r="AH15" s="12"/>
      <c r="AI15" s="12">
        <f aca="true" t="shared" si="7" ref="AI15:AI23">SUM(AC15+AE15-AF15+AG15-AH15)</f>
        <v>23716.15</v>
      </c>
      <c r="AJ15" s="12"/>
      <c r="AK15" s="12">
        <v>50.91</v>
      </c>
      <c r="AL15" s="12"/>
      <c r="AM15" s="12"/>
      <c r="AN15" s="12"/>
      <c r="AO15" s="12">
        <f aca="true" t="shared" si="8" ref="AO15:AO23">SUM(AI15+AK15-AL15+AM15-AN15)</f>
        <v>23767.06</v>
      </c>
      <c r="AP15" s="12"/>
      <c r="AQ15" s="12"/>
      <c r="AR15" s="12"/>
      <c r="AS15" s="12"/>
      <c r="AT15" s="12"/>
      <c r="AU15" s="12">
        <f aca="true" t="shared" si="9" ref="AU15:AU24">SUM(AO15+AQ15-AR15+AS15-AT15)</f>
        <v>23767.06</v>
      </c>
      <c r="AV15" s="12"/>
      <c r="AW15" s="12"/>
      <c r="AX15" s="12"/>
      <c r="AY15" s="12"/>
      <c r="AZ15" s="12"/>
      <c r="BA15" s="12">
        <f aca="true" t="shared" si="10" ref="BA15:BA22">SUM(AU15+AW15-AX15+AY15-AZ15)</f>
        <v>23767.06</v>
      </c>
      <c r="BB15" s="12"/>
      <c r="BC15" s="12"/>
      <c r="BD15" s="12"/>
      <c r="BE15" s="12"/>
      <c r="BF15" s="12"/>
      <c r="BG15" s="12">
        <f t="shared" si="3"/>
        <v>23767.06</v>
      </c>
      <c r="BH15" s="12"/>
      <c r="BI15" s="12"/>
      <c r="BJ15" s="12"/>
      <c r="BK15" s="12"/>
      <c r="BL15" s="12"/>
      <c r="BM15" s="12">
        <f aca="true" t="shared" si="11" ref="BM15:BM22">SUM(BG15+BI15-BJ15+BK15-BL15)</f>
        <v>23767.06</v>
      </c>
      <c r="BN15" s="12"/>
      <c r="BO15" s="12"/>
      <c r="BP15" s="12"/>
      <c r="BQ15" s="12"/>
      <c r="BR15" s="12"/>
      <c r="BS15" s="12">
        <f aca="true" t="shared" si="12" ref="BS15:BS22">SUM(BM15+BO15-BP15+BQ15-BR15)</f>
        <v>23767.06</v>
      </c>
      <c r="BT15" s="12"/>
      <c r="BU15" s="12"/>
      <c r="BV15" s="12"/>
      <c r="BW15" s="12"/>
      <c r="BX15" s="12"/>
      <c r="BY15" s="12">
        <f aca="true" t="shared" si="13" ref="BY15:BY23">SUM(BS15+BU15-BV15+BW15-BX15)</f>
        <v>23767.06</v>
      </c>
      <c r="BZ15" s="12"/>
      <c r="CA15" s="12"/>
      <c r="CB15" s="12"/>
      <c r="CC15" s="101">
        <f>+BY15+CA15-BZ15-CB15</f>
        <v>23767.06</v>
      </c>
      <c r="CD15" s="12"/>
    </row>
    <row r="16" spans="1:82" ht="15.75">
      <c r="A16" s="13"/>
      <c r="B16" s="28" t="s">
        <v>301</v>
      </c>
      <c r="C16" s="28"/>
      <c r="D16" s="2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f t="shared" si="4"/>
        <v>0</v>
      </c>
      <c r="R16" s="12"/>
      <c r="S16" s="12"/>
      <c r="T16" s="12"/>
      <c r="U16" s="12"/>
      <c r="V16" s="12"/>
      <c r="W16" s="12">
        <f t="shared" si="5"/>
        <v>0</v>
      </c>
      <c r="X16" s="12"/>
      <c r="Y16" s="12"/>
      <c r="Z16" s="12"/>
      <c r="AA16" s="12"/>
      <c r="AB16" s="12"/>
      <c r="AC16" s="12">
        <f t="shared" si="6"/>
        <v>0</v>
      </c>
      <c r="AD16" s="12"/>
      <c r="AE16" s="12"/>
      <c r="AF16" s="200"/>
      <c r="AG16" s="12"/>
      <c r="AH16" s="12"/>
      <c r="AI16" s="12">
        <f t="shared" si="7"/>
        <v>0</v>
      </c>
      <c r="AJ16" s="12"/>
      <c r="AK16" s="12"/>
      <c r="AL16" s="12"/>
      <c r="AM16" s="12"/>
      <c r="AN16" s="12"/>
      <c r="AO16" s="12">
        <f t="shared" si="8"/>
        <v>0</v>
      </c>
      <c r="AP16" s="12"/>
      <c r="AQ16" s="12"/>
      <c r="AR16" s="12"/>
      <c r="AS16" s="12"/>
      <c r="AT16" s="12"/>
      <c r="AU16" s="12">
        <f t="shared" si="9"/>
        <v>0</v>
      </c>
      <c r="AV16" s="12"/>
      <c r="AW16" s="12"/>
      <c r="AX16" s="12"/>
      <c r="AY16" s="12"/>
      <c r="AZ16" s="12"/>
      <c r="BA16" s="12">
        <f t="shared" si="10"/>
        <v>0</v>
      </c>
      <c r="BB16" s="12"/>
      <c r="BC16" s="12"/>
      <c r="BD16" s="12"/>
      <c r="BE16" s="12"/>
      <c r="BF16" s="12"/>
      <c r="BG16" s="12">
        <f t="shared" si="3"/>
        <v>0</v>
      </c>
      <c r="BH16" s="12"/>
      <c r="BI16" s="12"/>
      <c r="BJ16" s="12"/>
      <c r="BK16" s="12"/>
      <c r="BL16" s="12"/>
      <c r="BM16" s="12">
        <f t="shared" si="11"/>
        <v>0</v>
      </c>
      <c r="BN16" s="12"/>
      <c r="BO16" s="12"/>
      <c r="BP16" s="12"/>
      <c r="BQ16" s="12"/>
      <c r="BR16" s="12"/>
      <c r="BS16" s="12">
        <f t="shared" si="12"/>
        <v>0</v>
      </c>
      <c r="BT16" s="12"/>
      <c r="BU16" s="12"/>
      <c r="BV16" s="12"/>
      <c r="BW16" s="12"/>
      <c r="BX16" s="12"/>
      <c r="BY16" s="12">
        <f t="shared" si="13"/>
        <v>0</v>
      </c>
      <c r="BZ16" s="12"/>
      <c r="CA16" s="12"/>
      <c r="CB16" s="12"/>
      <c r="CC16" s="12">
        <f>SUM(BW16+BY16-BZ16+CA16-CB16)</f>
        <v>0</v>
      </c>
      <c r="CD16" s="12"/>
    </row>
    <row r="17" spans="1:82" ht="15.75">
      <c r="A17" s="13"/>
      <c r="B17" s="28"/>
      <c r="C17" s="28" t="s">
        <v>308</v>
      </c>
      <c r="D17" s="28"/>
      <c r="E17" s="12"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4"/>
        <v>0</v>
      </c>
      <c r="R17" s="12"/>
      <c r="S17" s="12"/>
      <c r="T17" s="12"/>
      <c r="U17" s="12"/>
      <c r="V17" s="12"/>
      <c r="W17" s="12">
        <f t="shared" si="5"/>
        <v>0</v>
      </c>
      <c r="X17" s="12"/>
      <c r="Y17" s="12"/>
      <c r="Z17" s="12"/>
      <c r="AA17" s="12"/>
      <c r="AB17" s="12"/>
      <c r="AC17" s="12">
        <f t="shared" si="6"/>
        <v>0</v>
      </c>
      <c r="AD17" s="12"/>
      <c r="AE17" s="12"/>
      <c r="AF17" s="200"/>
      <c r="AG17" s="12"/>
      <c r="AH17" s="12"/>
      <c r="AI17" s="12">
        <f t="shared" si="7"/>
        <v>0</v>
      </c>
      <c r="AJ17" s="12"/>
      <c r="AK17" s="12"/>
      <c r="AL17" s="12"/>
      <c r="AM17" s="12"/>
      <c r="AN17" s="12"/>
      <c r="AO17" s="12">
        <f t="shared" si="8"/>
        <v>0</v>
      </c>
      <c r="AP17" s="12"/>
      <c r="AQ17" s="12"/>
      <c r="AR17" s="12"/>
      <c r="AS17" s="12"/>
      <c r="AT17" s="12"/>
      <c r="AU17" s="12">
        <f t="shared" si="9"/>
        <v>0</v>
      </c>
      <c r="AV17" s="12"/>
      <c r="AW17" s="12"/>
      <c r="AX17" s="12"/>
      <c r="AY17" s="12"/>
      <c r="AZ17" s="12"/>
      <c r="BA17" s="12">
        <f t="shared" si="10"/>
        <v>0</v>
      </c>
      <c r="BB17" s="12"/>
      <c r="BC17" s="12"/>
      <c r="BD17" s="12"/>
      <c r="BE17" s="12"/>
      <c r="BF17" s="12"/>
      <c r="BG17" s="12">
        <f t="shared" si="3"/>
        <v>0</v>
      </c>
      <c r="BH17" s="12"/>
      <c r="BI17" s="12"/>
      <c r="BJ17" s="12"/>
      <c r="BK17" s="12"/>
      <c r="BL17" s="12"/>
      <c r="BM17" s="12">
        <f t="shared" si="11"/>
        <v>0</v>
      </c>
      <c r="BN17" s="12"/>
      <c r="BO17" s="12"/>
      <c r="BP17" s="12"/>
      <c r="BQ17" s="12"/>
      <c r="BR17" s="12"/>
      <c r="BS17" s="12">
        <f t="shared" si="12"/>
        <v>0</v>
      </c>
      <c r="BT17" s="12"/>
      <c r="BU17" s="12"/>
      <c r="BV17" s="12"/>
      <c r="BW17" s="12"/>
      <c r="BX17" s="12"/>
      <c r="BY17" s="12">
        <f t="shared" si="13"/>
        <v>0</v>
      </c>
      <c r="BZ17" s="12"/>
      <c r="CA17" s="12"/>
      <c r="CB17" s="12"/>
      <c r="CC17" s="12">
        <f>SUM(BW17+BY17-BZ17+CA17-CB17)</f>
        <v>0</v>
      </c>
      <c r="CD17" s="12"/>
    </row>
    <row r="18" spans="1:83" ht="15.75">
      <c r="A18" s="13" t="s">
        <v>56</v>
      </c>
      <c r="B18" s="28"/>
      <c r="C18" s="28"/>
      <c r="D18" s="28"/>
      <c r="E18" s="12">
        <v>11898.91</v>
      </c>
      <c r="F18" s="12"/>
      <c r="G18" s="12"/>
      <c r="H18" s="12"/>
      <c r="I18" s="12"/>
      <c r="J18" s="12"/>
      <c r="K18" s="12">
        <f t="shared" si="2"/>
        <v>11898.91</v>
      </c>
      <c r="L18" s="12"/>
      <c r="M18" s="12"/>
      <c r="N18" s="12"/>
      <c r="O18" s="12"/>
      <c r="P18" s="12"/>
      <c r="Q18" s="12">
        <f t="shared" si="4"/>
        <v>11898.91</v>
      </c>
      <c r="R18" s="12"/>
      <c r="S18" s="12"/>
      <c r="T18" s="12"/>
      <c r="U18" s="12"/>
      <c r="V18" s="12"/>
      <c r="W18" s="12">
        <f t="shared" si="5"/>
        <v>11898.91</v>
      </c>
      <c r="X18" s="12"/>
      <c r="Y18" s="12"/>
      <c r="Z18" s="12"/>
      <c r="AA18" s="12"/>
      <c r="AB18" s="12"/>
      <c r="AC18" s="12">
        <f t="shared" si="6"/>
        <v>11898.91</v>
      </c>
      <c r="AD18" s="12"/>
      <c r="AE18" s="12"/>
      <c r="AF18" s="12">
        <v>46.01</v>
      </c>
      <c r="AG18" s="12"/>
      <c r="AH18" s="12"/>
      <c r="AI18" s="12">
        <f t="shared" si="7"/>
        <v>11852.9</v>
      </c>
      <c r="AJ18" s="12"/>
      <c r="AK18" s="12"/>
      <c r="AL18" s="12"/>
      <c r="AM18" s="12"/>
      <c r="AN18" s="12"/>
      <c r="AO18" s="12">
        <f t="shared" si="8"/>
        <v>11852.9</v>
      </c>
      <c r="AP18" s="12"/>
      <c r="AQ18" s="12"/>
      <c r="AR18" s="12"/>
      <c r="AS18" s="12"/>
      <c r="AT18" s="12"/>
      <c r="AU18" s="12">
        <f t="shared" si="9"/>
        <v>11852.9</v>
      </c>
      <c r="AV18" s="12"/>
      <c r="AW18" s="12"/>
      <c r="AX18" s="12"/>
      <c r="AY18" s="12"/>
      <c r="AZ18" s="12"/>
      <c r="BA18" s="12">
        <f t="shared" si="10"/>
        <v>11852.9</v>
      </c>
      <c r="BB18" s="12"/>
      <c r="BC18" s="12"/>
      <c r="BD18" s="12"/>
      <c r="BE18" s="12"/>
      <c r="BF18" s="12"/>
      <c r="BG18" s="12">
        <f t="shared" si="3"/>
        <v>11852.9</v>
      </c>
      <c r="BH18" s="12"/>
      <c r="BI18" s="12"/>
      <c r="BJ18" s="12"/>
      <c r="BK18" s="12"/>
      <c r="BL18" s="12"/>
      <c r="BM18" s="12">
        <f t="shared" si="11"/>
        <v>11852.9</v>
      </c>
      <c r="BN18" s="12"/>
      <c r="BO18" s="12"/>
      <c r="BP18" s="12"/>
      <c r="BQ18" s="12"/>
      <c r="BR18" s="12"/>
      <c r="BS18" s="12">
        <f t="shared" si="12"/>
        <v>11852.9</v>
      </c>
      <c r="BT18" s="12"/>
      <c r="BU18" s="12"/>
      <c r="BV18" s="12"/>
      <c r="BW18" s="12"/>
      <c r="BX18" s="12"/>
      <c r="BY18" s="12">
        <f>SUM(BS18+BU18-BV18+BW18-BX18)</f>
        <v>11852.9</v>
      </c>
      <c r="BZ18" s="12"/>
      <c r="CA18" s="12"/>
      <c r="CB18" s="12"/>
      <c r="CC18" s="12">
        <f aca="true" t="shared" si="14" ref="CC18:CC23">+BY18+CA18-BZ18-CB18</f>
        <v>11852.9</v>
      </c>
      <c r="CD18" s="12"/>
      <c r="CE18" s="6">
        <f>2500*0.75</f>
        <v>1875</v>
      </c>
    </row>
    <row r="19" spans="1:82" ht="15.75">
      <c r="A19" s="13" t="s">
        <v>59</v>
      </c>
      <c r="B19" s="28"/>
      <c r="C19" s="28"/>
      <c r="D19" s="28"/>
      <c r="E19" s="101">
        <v>191606.86</v>
      </c>
      <c r="F19" s="12"/>
      <c r="G19" s="12"/>
      <c r="H19" s="12"/>
      <c r="I19" s="12"/>
      <c r="J19" s="12"/>
      <c r="K19" s="12">
        <f t="shared" si="2"/>
        <v>191606.86</v>
      </c>
      <c r="L19" s="12"/>
      <c r="M19" s="12"/>
      <c r="N19" s="12"/>
      <c r="O19" s="12">
        <v>20</v>
      </c>
      <c r="P19" s="12"/>
      <c r="Q19" s="12">
        <f t="shared" si="4"/>
        <v>191626.86</v>
      </c>
      <c r="R19" s="12"/>
      <c r="S19" s="12"/>
      <c r="T19" s="12"/>
      <c r="U19" s="12"/>
      <c r="V19" s="12"/>
      <c r="W19" s="12">
        <f t="shared" si="5"/>
        <v>191626.86</v>
      </c>
      <c r="X19" s="12"/>
      <c r="Y19" s="12"/>
      <c r="Z19" s="12"/>
      <c r="AA19" s="12"/>
      <c r="AB19" s="12"/>
      <c r="AC19" s="12">
        <f t="shared" si="6"/>
        <v>191626.86</v>
      </c>
      <c r="AD19" s="12"/>
      <c r="AE19" s="12"/>
      <c r="AF19" s="12"/>
      <c r="AG19" s="12"/>
      <c r="AH19" s="12"/>
      <c r="AI19" s="12">
        <f t="shared" si="7"/>
        <v>191626.86</v>
      </c>
      <c r="AJ19" s="12"/>
      <c r="AK19" s="12"/>
      <c r="AL19" s="12"/>
      <c r="AM19" s="12"/>
      <c r="AN19" s="12"/>
      <c r="AO19" s="12">
        <f t="shared" si="8"/>
        <v>191626.86</v>
      </c>
      <c r="AP19" s="12"/>
      <c r="AQ19" s="12"/>
      <c r="AR19" s="12"/>
      <c r="AS19" s="12"/>
      <c r="AT19" s="12"/>
      <c r="AU19" s="12">
        <f t="shared" si="9"/>
        <v>191626.86</v>
      </c>
      <c r="AV19" s="12"/>
      <c r="AW19" s="12"/>
      <c r="AX19" s="12"/>
      <c r="AY19" s="12"/>
      <c r="AZ19" s="12"/>
      <c r="BA19" s="12">
        <f t="shared" si="10"/>
        <v>191626.86</v>
      </c>
      <c r="BB19" s="12"/>
      <c r="BC19" s="12"/>
      <c r="BD19" s="12"/>
      <c r="BE19" s="12"/>
      <c r="BF19" s="12"/>
      <c r="BG19" s="12">
        <f t="shared" si="3"/>
        <v>191626.86</v>
      </c>
      <c r="BH19" s="12"/>
      <c r="BI19" s="12"/>
      <c r="BJ19" s="12"/>
      <c r="BK19" s="306"/>
      <c r="BL19" s="12"/>
      <c r="BM19" s="12">
        <f t="shared" si="11"/>
        <v>191626.86</v>
      </c>
      <c r="BN19" s="12"/>
      <c r="BO19" s="12"/>
      <c r="BP19" s="12"/>
      <c r="BQ19" s="12"/>
      <c r="BR19" s="12"/>
      <c r="BS19" s="12">
        <f t="shared" si="12"/>
        <v>191626.86</v>
      </c>
      <c r="BT19" s="12"/>
      <c r="BU19" s="12"/>
      <c r="BV19" s="12"/>
      <c r="BW19" s="12"/>
      <c r="BX19" s="12"/>
      <c r="BY19" s="12">
        <f>SUM(BS19+BU19-BV19+BW19-BX19)</f>
        <v>191626.86</v>
      </c>
      <c r="BZ19" s="12"/>
      <c r="CA19" s="12"/>
      <c r="CB19" s="12"/>
      <c r="CC19" s="12">
        <f t="shared" si="14"/>
        <v>191626.86</v>
      </c>
      <c r="CD19" s="12"/>
    </row>
    <row r="20" spans="1:84" s="27" customFormat="1" ht="15.75">
      <c r="A20" s="99" t="s">
        <v>55</v>
      </c>
      <c r="B20" s="100"/>
      <c r="C20" s="100"/>
      <c r="D20" s="100"/>
      <c r="E20" s="101">
        <v>0</v>
      </c>
      <c r="F20" s="101"/>
      <c r="G20" s="101">
        <v>7000</v>
      </c>
      <c r="H20" s="101"/>
      <c r="I20" s="101"/>
      <c r="J20" s="101">
        <v>0</v>
      </c>
      <c r="K20" s="101">
        <f>SUM(E20+G20-H20+I20-J20)</f>
        <v>7000</v>
      </c>
      <c r="L20" s="101"/>
      <c r="M20" s="101">
        <v>15600</v>
      </c>
      <c r="N20" s="101"/>
      <c r="O20" s="101"/>
      <c r="P20" s="101">
        <f>7000+3500</f>
        <v>10500</v>
      </c>
      <c r="Q20" s="101">
        <f t="shared" si="4"/>
        <v>12100</v>
      </c>
      <c r="R20" s="101"/>
      <c r="S20" s="101">
        <v>7200</v>
      </c>
      <c r="T20" s="101"/>
      <c r="U20" s="101"/>
      <c r="V20" s="101">
        <v>12100</v>
      </c>
      <c r="W20" s="101">
        <f>SUM(Q20+S20-T20+U20-V20)</f>
        <v>7200</v>
      </c>
      <c r="X20" s="101"/>
      <c r="Y20" s="101">
        <v>37860</v>
      </c>
      <c r="Z20" s="101"/>
      <c r="AA20" s="101"/>
      <c r="AB20" s="101">
        <f>3600+3600</f>
        <v>7200</v>
      </c>
      <c r="AC20" s="101">
        <f t="shared" si="6"/>
        <v>37860</v>
      </c>
      <c r="AD20" s="101"/>
      <c r="AE20" s="101">
        <v>11400</v>
      </c>
      <c r="AF20" s="101"/>
      <c r="AG20" s="101"/>
      <c r="AH20" s="101">
        <f>15600+7600</f>
        <v>23200</v>
      </c>
      <c r="AI20" s="101">
        <f t="shared" si="7"/>
        <v>26060</v>
      </c>
      <c r="AJ20" s="101"/>
      <c r="AK20" s="101">
        <v>39328</v>
      </c>
      <c r="AL20" s="101">
        <v>311.35</v>
      </c>
      <c r="AM20" s="101"/>
      <c r="AN20" s="101">
        <f>7148.65+11400+3700</f>
        <v>22248.65</v>
      </c>
      <c r="AO20" s="101">
        <f t="shared" si="8"/>
        <v>42828</v>
      </c>
      <c r="AP20" s="101"/>
      <c r="AQ20" s="101">
        <v>30000</v>
      </c>
      <c r="AR20" s="101">
        <f>1088+2000</f>
        <v>3088</v>
      </c>
      <c r="AS20" s="101"/>
      <c r="AT20" s="101">
        <f>3600+3600+3760+3760+3760+3760+3900+3900+3900+3900+3900+28000</f>
        <v>69740</v>
      </c>
      <c r="AU20" s="101">
        <f t="shared" si="9"/>
        <v>0</v>
      </c>
      <c r="AV20" s="101"/>
      <c r="AW20" s="101"/>
      <c r="AX20" s="101"/>
      <c r="AY20" s="101"/>
      <c r="AZ20" s="101"/>
      <c r="BA20" s="101">
        <f t="shared" si="10"/>
        <v>0</v>
      </c>
      <c r="BB20" s="101"/>
      <c r="BC20" s="101"/>
      <c r="BD20" s="101"/>
      <c r="BE20" s="101"/>
      <c r="BF20" s="101"/>
      <c r="BG20" s="101">
        <f t="shared" si="3"/>
        <v>0</v>
      </c>
      <c r="BH20" s="101"/>
      <c r="BI20" s="101"/>
      <c r="BJ20" s="101"/>
      <c r="BK20" s="101"/>
      <c r="BL20" s="101"/>
      <c r="BM20" s="101">
        <f t="shared" si="11"/>
        <v>0</v>
      </c>
      <c r="BN20" s="101"/>
      <c r="BO20" s="101"/>
      <c r="BP20" s="101"/>
      <c r="BQ20" s="101"/>
      <c r="BR20" s="101"/>
      <c r="BS20" s="101">
        <f>SUM(BM20+BO20-BP20+BQ20-BR20)</f>
        <v>0</v>
      </c>
      <c r="BT20" s="101"/>
      <c r="BU20" s="101"/>
      <c r="BV20" s="101"/>
      <c r="BW20" s="101"/>
      <c r="BX20" s="101"/>
      <c r="BY20" s="101">
        <f>SUM(BS20+BU20-BV20+BW20-BX20)</f>
        <v>0</v>
      </c>
      <c r="BZ20" s="101"/>
      <c r="CA20" s="101"/>
      <c r="CB20" s="101"/>
      <c r="CC20" s="101">
        <f>+BY20+CA20-BZ20-CB20</f>
        <v>0</v>
      </c>
      <c r="CD20" s="101"/>
      <c r="CE20" s="104"/>
      <c r="CF20" s="104"/>
    </row>
    <row r="21" spans="1:84" s="27" customFormat="1" ht="15.75">
      <c r="A21" s="99" t="s">
        <v>135</v>
      </c>
      <c r="B21" s="100"/>
      <c r="C21" s="100"/>
      <c r="D21" s="100"/>
      <c r="E21" s="101">
        <v>0</v>
      </c>
      <c r="F21" s="101"/>
      <c r="G21" s="101">
        <v>901400</v>
      </c>
      <c r="H21" s="101">
        <v>600</v>
      </c>
      <c r="I21" s="101"/>
      <c r="J21" s="101">
        <v>5000</v>
      </c>
      <c r="K21" s="101">
        <f>SUM(E21+G21-H21+I21-J21)</f>
        <v>895800</v>
      </c>
      <c r="L21" s="101"/>
      <c r="M21" s="101">
        <v>1013545</v>
      </c>
      <c r="N21" s="101">
        <v>600</v>
      </c>
      <c r="O21" s="101"/>
      <c r="P21" s="101">
        <f>895200+112945+894600</f>
        <v>1902745</v>
      </c>
      <c r="Q21" s="101">
        <f t="shared" si="4"/>
        <v>6000</v>
      </c>
      <c r="R21" s="101"/>
      <c r="S21" s="101"/>
      <c r="T21" s="101"/>
      <c r="U21" s="101"/>
      <c r="V21" s="101"/>
      <c r="W21" s="101">
        <f t="shared" si="5"/>
        <v>6000</v>
      </c>
      <c r="X21" s="101"/>
      <c r="Y21" s="101">
        <v>103116</v>
      </c>
      <c r="Z21" s="101"/>
      <c r="AA21" s="101"/>
      <c r="AB21" s="101">
        <v>6000</v>
      </c>
      <c r="AC21" s="101">
        <f t="shared" si="6"/>
        <v>103116</v>
      </c>
      <c r="AD21" s="101"/>
      <c r="AE21" s="101">
        <v>177600</v>
      </c>
      <c r="AF21" s="101"/>
      <c r="AG21" s="101"/>
      <c r="AH21" s="101">
        <v>103116</v>
      </c>
      <c r="AI21" s="101">
        <f t="shared" si="7"/>
        <v>177600</v>
      </c>
      <c r="AJ21" s="101"/>
      <c r="AK21" s="101">
        <v>929800</v>
      </c>
      <c r="AL21" s="101"/>
      <c r="AM21" s="101"/>
      <c r="AN21" s="101">
        <f>137600+40000+793000+136800</f>
        <v>1107400</v>
      </c>
      <c r="AO21" s="101">
        <f t="shared" si="8"/>
        <v>0</v>
      </c>
      <c r="AP21" s="101"/>
      <c r="AQ21" s="101"/>
      <c r="AR21" s="101"/>
      <c r="AS21" s="101"/>
      <c r="AT21" s="101"/>
      <c r="AU21" s="101">
        <f t="shared" si="9"/>
        <v>0</v>
      </c>
      <c r="AV21" s="101"/>
      <c r="AW21" s="101">
        <v>933100</v>
      </c>
      <c r="AX21" s="101">
        <v>800</v>
      </c>
      <c r="AY21" s="101"/>
      <c r="AZ21" s="101">
        <f>789300+136800+6200</f>
        <v>932300</v>
      </c>
      <c r="BA21" s="101">
        <f t="shared" si="10"/>
        <v>0</v>
      </c>
      <c r="BB21" s="101"/>
      <c r="BC21" s="101"/>
      <c r="BD21" s="101"/>
      <c r="BE21" s="101"/>
      <c r="BF21" s="101"/>
      <c r="BG21" s="101">
        <f>SUM(BA21+BC21-BD21+BE21-BF21)</f>
        <v>0</v>
      </c>
      <c r="BH21" s="101"/>
      <c r="BI21" s="101"/>
      <c r="BJ21" s="101"/>
      <c r="BK21" s="101"/>
      <c r="BL21" s="101"/>
      <c r="BM21" s="101">
        <f>SUM(BG21+BI21-BJ21+BK21-BL21)</f>
        <v>0</v>
      </c>
      <c r="BN21" s="101"/>
      <c r="BO21" s="101"/>
      <c r="BP21" s="101"/>
      <c r="BQ21" s="101"/>
      <c r="BR21" s="101"/>
      <c r="BS21" s="101">
        <f t="shared" si="12"/>
        <v>0</v>
      </c>
      <c r="BT21" s="101"/>
      <c r="BU21" s="101"/>
      <c r="BV21" s="101"/>
      <c r="BW21" s="101"/>
      <c r="BX21" s="101"/>
      <c r="BY21" s="101">
        <f t="shared" si="13"/>
        <v>0</v>
      </c>
      <c r="BZ21" s="101"/>
      <c r="CA21" s="101"/>
      <c r="CB21" s="101"/>
      <c r="CC21" s="101">
        <f t="shared" si="14"/>
        <v>0</v>
      </c>
      <c r="CD21" s="101"/>
      <c r="CE21" s="104">
        <f>761200-BL21</f>
        <v>761200</v>
      </c>
      <c r="CF21" s="104"/>
    </row>
    <row r="22" spans="1:83" ht="15.75">
      <c r="A22" s="13" t="s">
        <v>81</v>
      </c>
      <c r="B22" s="28"/>
      <c r="C22" s="28"/>
      <c r="D22" s="28"/>
      <c r="E22" s="12">
        <v>2456463.52</v>
      </c>
      <c r="F22" s="12"/>
      <c r="G22" s="12"/>
      <c r="H22" s="12"/>
      <c r="I22" s="12"/>
      <c r="J22" s="12"/>
      <c r="K22" s="101">
        <f>SUM(E22+G22-H22+I22-J22)</f>
        <v>2456463.52</v>
      </c>
      <c r="L22" s="12"/>
      <c r="M22" s="12"/>
      <c r="N22" s="12"/>
      <c r="O22" s="12"/>
      <c r="P22" s="12"/>
      <c r="Q22" s="12">
        <f t="shared" si="4"/>
        <v>2456463.52</v>
      </c>
      <c r="R22" s="12"/>
      <c r="S22" s="12"/>
      <c r="T22" s="12"/>
      <c r="U22" s="12"/>
      <c r="V22" s="12"/>
      <c r="W22" s="12">
        <f t="shared" si="5"/>
        <v>2456463.52</v>
      </c>
      <c r="X22" s="12"/>
      <c r="Y22" s="12"/>
      <c r="Z22" s="12"/>
      <c r="AA22" s="12"/>
      <c r="AB22" s="12"/>
      <c r="AC22" s="12">
        <f t="shared" si="6"/>
        <v>2456463.52</v>
      </c>
      <c r="AD22" s="12"/>
      <c r="AE22" s="12"/>
      <c r="AF22" s="200"/>
      <c r="AG22" s="12"/>
      <c r="AH22" s="12"/>
      <c r="AI22" s="12">
        <f t="shared" si="7"/>
        <v>2456463.52</v>
      </c>
      <c r="AJ22" s="12"/>
      <c r="AK22" s="12"/>
      <c r="AL22" s="12"/>
      <c r="AM22" s="12"/>
      <c r="AN22" s="12"/>
      <c r="AO22" s="12">
        <f t="shared" si="8"/>
        <v>2456463.52</v>
      </c>
      <c r="AP22" s="12"/>
      <c r="AQ22" s="12"/>
      <c r="AR22" s="12"/>
      <c r="AS22" s="12">
        <v>172347.83</v>
      </c>
      <c r="AT22" s="12"/>
      <c r="AU22" s="12">
        <f>SUM(AO22+AQ22-AR22+AS22-AT22)</f>
        <v>2628811.35</v>
      </c>
      <c r="AV22" s="12"/>
      <c r="AW22" s="12"/>
      <c r="AX22" s="12"/>
      <c r="AY22" s="12"/>
      <c r="AZ22" s="12"/>
      <c r="BA22" s="12">
        <f t="shared" si="10"/>
        <v>2628811.35</v>
      </c>
      <c r="BB22" s="12"/>
      <c r="BC22" s="12"/>
      <c r="BD22" s="12"/>
      <c r="BE22" s="12"/>
      <c r="BF22" s="12"/>
      <c r="BG22" s="12">
        <f t="shared" si="3"/>
        <v>2628811.35</v>
      </c>
      <c r="BH22" s="12"/>
      <c r="BI22" s="12"/>
      <c r="BJ22" s="12"/>
      <c r="BK22" s="12"/>
      <c r="BL22" s="12"/>
      <c r="BM22" s="12">
        <f t="shared" si="11"/>
        <v>2628811.35</v>
      </c>
      <c r="BN22" s="12"/>
      <c r="BO22" s="12"/>
      <c r="BP22" s="12"/>
      <c r="BQ22" s="12"/>
      <c r="BR22" s="12"/>
      <c r="BS22" s="12">
        <f t="shared" si="12"/>
        <v>2628811.35</v>
      </c>
      <c r="BT22" s="12"/>
      <c r="BU22" s="12"/>
      <c r="BV22" s="12"/>
      <c r="BW22" s="12"/>
      <c r="BX22" s="12"/>
      <c r="BY22" s="12">
        <f t="shared" si="13"/>
        <v>2628811.35</v>
      </c>
      <c r="BZ22" s="12"/>
      <c r="CA22" s="12"/>
      <c r="CB22" s="12"/>
      <c r="CC22" s="12">
        <f t="shared" si="14"/>
        <v>2628811.35</v>
      </c>
      <c r="CD22" s="12"/>
      <c r="CE22" s="6">
        <v>122133</v>
      </c>
    </row>
    <row r="23" spans="1:83" ht="15.75">
      <c r="A23" s="13" t="s">
        <v>335</v>
      </c>
      <c r="B23" s="28"/>
      <c r="C23" s="28"/>
      <c r="D23" s="28"/>
      <c r="E23" s="12">
        <v>0</v>
      </c>
      <c r="F23" s="12"/>
      <c r="G23" s="12"/>
      <c r="H23" s="12"/>
      <c r="I23" s="12"/>
      <c r="J23" s="12"/>
      <c r="K23" s="101">
        <f>SUM(E23+G23-H23+I23-J23)</f>
        <v>0</v>
      </c>
      <c r="L23" s="12"/>
      <c r="M23" s="12"/>
      <c r="N23" s="12"/>
      <c r="O23" s="12"/>
      <c r="P23" s="12"/>
      <c r="Q23" s="12">
        <f t="shared" si="4"/>
        <v>0</v>
      </c>
      <c r="R23" s="12"/>
      <c r="S23" s="12">
        <v>735500</v>
      </c>
      <c r="T23" s="12"/>
      <c r="U23" s="12"/>
      <c r="V23" s="12">
        <v>735500</v>
      </c>
      <c r="W23" s="12">
        <f>SUM(Q23+S23-T23+U23-V23)</f>
        <v>0</v>
      </c>
      <c r="X23" s="12"/>
      <c r="Y23" s="12">
        <v>876700</v>
      </c>
      <c r="Z23" s="12"/>
      <c r="AA23" s="12"/>
      <c r="AB23" s="12">
        <v>876700</v>
      </c>
      <c r="AC23" s="12">
        <f t="shared" si="6"/>
        <v>0</v>
      </c>
      <c r="AD23" s="12"/>
      <c r="AE23" s="12">
        <v>669200</v>
      </c>
      <c r="AF23" s="200"/>
      <c r="AG23" s="12"/>
      <c r="AH23" s="12">
        <v>669200</v>
      </c>
      <c r="AI23" s="12">
        <f t="shared" si="7"/>
        <v>0</v>
      </c>
      <c r="AJ23" s="12"/>
      <c r="AK23" s="12"/>
      <c r="AL23" s="12"/>
      <c r="AM23" s="12"/>
      <c r="AN23" s="12"/>
      <c r="AO23" s="12">
        <f t="shared" si="8"/>
        <v>0</v>
      </c>
      <c r="AP23" s="12"/>
      <c r="AQ23" s="12">
        <v>758200</v>
      </c>
      <c r="AR23" s="12">
        <v>800</v>
      </c>
      <c r="AS23" s="12"/>
      <c r="AT23" s="12">
        <v>757400</v>
      </c>
      <c r="AU23" s="12">
        <f t="shared" si="9"/>
        <v>0</v>
      </c>
      <c r="AV23" s="12"/>
      <c r="AW23" s="12">
        <v>70000</v>
      </c>
      <c r="AX23" s="12"/>
      <c r="AY23" s="12"/>
      <c r="AZ23" s="12"/>
      <c r="BA23" s="12">
        <f>SUM(AU23+AW23-AX23+AY23-AZ23)</f>
        <v>70000</v>
      </c>
      <c r="BB23" s="12"/>
      <c r="BC23" s="12"/>
      <c r="BD23" s="12"/>
      <c r="BE23" s="12"/>
      <c r="BF23" s="12"/>
      <c r="BG23" s="12">
        <f t="shared" si="3"/>
        <v>70000</v>
      </c>
      <c r="BH23" s="12"/>
      <c r="BI23" s="12"/>
      <c r="BJ23" s="12"/>
      <c r="BK23" s="12"/>
      <c r="BL23" s="12"/>
      <c r="BM23" s="12">
        <f>SUM(BG23+BI23-BJ23+BK23-BL23)</f>
        <v>70000</v>
      </c>
      <c r="BN23" s="12"/>
      <c r="BO23" s="12"/>
      <c r="BP23" s="12"/>
      <c r="BQ23" s="12"/>
      <c r="BR23" s="101"/>
      <c r="BS23" s="12">
        <f>SUM(BM23+BO23-BP23+BQ23-BR23)</f>
        <v>70000</v>
      </c>
      <c r="BT23" s="12"/>
      <c r="BU23" s="12"/>
      <c r="BV23" s="12"/>
      <c r="BW23" s="12"/>
      <c r="BX23" s="12"/>
      <c r="BY23" s="12">
        <f t="shared" si="13"/>
        <v>70000</v>
      </c>
      <c r="BZ23" s="12"/>
      <c r="CA23" s="12"/>
      <c r="CB23" s="12"/>
      <c r="CC23" s="12">
        <f t="shared" si="14"/>
        <v>70000</v>
      </c>
      <c r="CD23" s="12"/>
      <c r="CE23" s="6">
        <v>3480</v>
      </c>
    </row>
    <row r="24" spans="1:83" ht="15.75">
      <c r="A24" s="13" t="s">
        <v>576</v>
      </c>
      <c r="B24" s="28"/>
      <c r="C24" s="28"/>
      <c r="D24" s="2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200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>
        <v>231294.61</v>
      </c>
      <c r="AT24" s="12"/>
      <c r="AU24" s="12">
        <f t="shared" si="9"/>
        <v>231294.61</v>
      </c>
      <c r="AV24" s="12"/>
      <c r="AW24" s="12"/>
      <c r="AX24" s="12"/>
      <c r="AY24" s="12"/>
      <c r="AZ24" s="12"/>
      <c r="BA24" s="12">
        <f>SUM(AU24+AW24-AX24+AY24-AZ24)</f>
        <v>231294.61</v>
      </c>
      <c r="BB24" s="12"/>
      <c r="BC24" s="12"/>
      <c r="BD24" s="12"/>
      <c r="BE24" s="12"/>
      <c r="BF24" s="12"/>
      <c r="BG24" s="12">
        <f t="shared" si="3"/>
        <v>231294.61</v>
      </c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6">
        <f>SUM(CE22:CE23)</f>
        <v>125613</v>
      </c>
    </row>
    <row r="25" spans="1:84" s="132" customFormat="1" ht="15.75">
      <c r="A25" s="457" t="s">
        <v>82</v>
      </c>
      <c r="B25" s="458"/>
      <c r="C25" s="458"/>
      <c r="D25" s="458"/>
      <c r="E25" s="130">
        <f>SUM(E4:E5,E18:E24)</f>
        <v>25724918.36</v>
      </c>
      <c r="F25" s="130">
        <f aca="true" t="shared" si="15" ref="F25:BP25">SUM(F4:F5,F18:F24)</f>
        <v>0</v>
      </c>
      <c r="G25" s="130">
        <f>SUM(G4,G5,G18:G24)</f>
        <v>3117622.4299999997</v>
      </c>
      <c r="H25" s="130">
        <f t="shared" si="15"/>
        <v>2215110.8899999997</v>
      </c>
      <c r="I25" s="130">
        <f t="shared" si="15"/>
        <v>7214510.89</v>
      </c>
      <c r="J25" s="130">
        <f t="shared" si="15"/>
        <v>7219510.89</v>
      </c>
      <c r="K25" s="130">
        <f>SUM(K4:K5,K18:K24)</f>
        <v>26622429.9</v>
      </c>
      <c r="L25" s="130">
        <f>SUM(L4:L5,L18:L24)</f>
        <v>0</v>
      </c>
      <c r="M25" s="130">
        <f t="shared" si="15"/>
        <v>8811570.51</v>
      </c>
      <c r="N25" s="130">
        <f t="shared" si="15"/>
        <v>3651144.99</v>
      </c>
      <c r="O25" s="130">
        <f t="shared" si="15"/>
        <v>3650564.99</v>
      </c>
      <c r="P25" s="130">
        <f t="shared" si="15"/>
        <v>5563789.99</v>
      </c>
      <c r="Q25" s="130">
        <f>SUM(Q4:Q5,Q18:Q24)</f>
        <v>29869630.419999994</v>
      </c>
      <c r="R25" s="130">
        <f>SUM(R4:R5,R18:R24)</f>
        <v>0</v>
      </c>
      <c r="S25" s="130">
        <f t="shared" si="15"/>
        <v>9757772.25</v>
      </c>
      <c r="T25" s="130">
        <f t="shared" si="15"/>
        <v>3365305.97</v>
      </c>
      <c r="U25" s="130">
        <f t="shared" si="15"/>
        <v>8365305.970000001</v>
      </c>
      <c r="V25" s="130">
        <f t="shared" si="15"/>
        <v>9112905.97</v>
      </c>
      <c r="W25" s="130">
        <f t="shared" si="15"/>
        <v>35514496.699999996</v>
      </c>
      <c r="X25" s="130">
        <f t="shared" si="15"/>
        <v>0</v>
      </c>
      <c r="Y25" s="130">
        <f t="shared" si="15"/>
        <v>5511941.14</v>
      </c>
      <c r="Z25" s="130">
        <f t="shared" si="15"/>
        <v>4841180.57</v>
      </c>
      <c r="AA25" s="130">
        <f t="shared" si="15"/>
        <v>4841180.57</v>
      </c>
      <c r="AB25" s="130">
        <f t="shared" si="15"/>
        <v>5731080.57</v>
      </c>
      <c r="AC25" s="130">
        <f t="shared" si="15"/>
        <v>35295357.269999996</v>
      </c>
      <c r="AD25" s="130">
        <f t="shared" si="15"/>
        <v>0</v>
      </c>
      <c r="AE25" s="130">
        <f>SUM(AE4:AE5,AE18:AE24)</f>
        <v>3168654.13</v>
      </c>
      <c r="AF25" s="130">
        <f>SUM(AF4:AF5,AF18:AF24)</f>
        <v>2630970.02</v>
      </c>
      <c r="AG25" s="130">
        <f t="shared" si="15"/>
        <v>7626581.41</v>
      </c>
      <c r="AH25" s="130">
        <f t="shared" si="15"/>
        <v>8422097.41</v>
      </c>
      <c r="AI25" s="130">
        <f t="shared" si="15"/>
        <v>35037525.379999995</v>
      </c>
      <c r="AJ25" s="130">
        <f t="shared" si="15"/>
        <v>0</v>
      </c>
      <c r="AK25" s="130">
        <f t="shared" si="15"/>
        <v>12793740.02</v>
      </c>
      <c r="AL25" s="130">
        <f t="shared" si="15"/>
        <v>8802470.86</v>
      </c>
      <c r="AM25" s="130">
        <f t="shared" si="15"/>
        <v>18794959.509999998</v>
      </c>
      <c r="AN25" s="130">
        <f t="shared" si="15"/>
        <v>19924608.159999996</v>
      </c>
      <c r="AO25" s="130">
        <f t="shared" si="15"/>
        <v>37899145.88999999</v>
      </c>
      <c r="AP25" s="130">
        <f aca="true" t="shared" si="16" ref="AP25:AU25">SUM(AP4:AP5,AP18:AP24)</f>
        <v>0</v>
      </c>
      <c r="AQ25" s="130">
        <f t="shared" si="16"/>
        <v>10281487.629999999</v>
      </c>
      <c r="AR25" s="130">
        <f t="shared" si="16"/>
        <v>10251897.9</v>
      </c>
      <c r="AS25" s="130">
        <f t="shared" si="16"/>
        <v>10652652.34</v>
      </c>
      <c r="AT25" s="130">
        <f t="shared" si="16"/>
        <v>11075149.9</v>
      </c>
      <c r="AU25" s="130">
        <f t="shared" si="16"/>
        <v>37506238.06</v>
      </c>
      <c r="AV25" s="130">
        <f>SUM(AV4:AV5,AV18:AV24)</f>
        <v>0</v>
      </c>
      <c r="AW25" s="130">
        <f>SUM(AW4:AW5,AW18:AW24)</f>
        <v>10340500.940000001</v>
      </c>
      <c r="AX25" s="130">
        <f>SUM(AX4:AX5,AX18:AX24)</f>
        <v>10614037.49</v>
      </c>
      <c r="AY25" s="130">
        <f>SUM(AY4:AY5,AY18:AY24)</f>
        <v>10613206.9</v>
      </c>
      <c r="AZ25" s="130">
        <f>SUM(AZ4:AZ5,AZ18:AZ24)</f>
        <v>11545506.9</v>
      </c>
      <c r="BA25" s="130">
        <f>SUM(BA4:BA5,BA18:BA24)</f>
        <v>36300401.51</v>
      </c>
      <c r="BB25" s="130">
        <f>SUM(BB4:BB5,BB18:BB24)</f>
        <v>0</v>
      </c>
      <c r="BC25" s="130">
        <f t="shared" si="15"/>
        <v>0</v>
      </c>
      <c r="BD25" s="130">
        <f>SUM(BD4:BD5,BD18:BD24)</f>
        <v>0</v>
      </c>
      <c r="BE25" s="130">
        <f t="shared" si="15"/>
        <v>0</v>
      </c>
      <c r="BF25" s="130">
        <f t="shared" si="15"/>
        <v>0</v>
      </c>
      <c r="BG25" s="130">
        <f>SUM(BG4:BG5,BG18:BG24)</f>
        <v>36300401.51</v>
      </c>
      <c r="BH25" s="130">
        <f>SUM(BH4:BH5,BH18:BH24)</f>
        <v>0</v>
      </c>
      <c r="BI25" s="130">
        <f t="shared" si="15"/>
        <v>0</v>
      </c>
      <c r="BJ25" s="130">
        <f t="shared" si="15"/>
        <v>0</v>
      </c>
      <c r="BK25" s="130">
        <f t="shared" si="15"/>
        <v>0</v>
      </c>
      <c r="BL25" s="130">
        <f t="shared" si="15"/>
        <v>0</v>
      </c>
      <c r="BM25" s="130">
        <f>SUM(BM4:BM5,BM18:BM24)</f>
        <v>36069106.9</v>
      </c>
      <c r="BN25" s="130">
        <f>SUM(BN4:BN5,BN18:BN24)</f>
        <v>0</v>
      </c>
      <c r="BO25" s="130">
        <f t="shared" si="15"/>
        <v>0</v>
      </c>
      <c r="BP25" s="130">
        <f t="shared" si="15"/>
        <v>0</v>
      </c>
      <c r="BQ25" s="130">
        <f>SUM(BQ4:BQ5,BQ18:BQ24)</f>
        <v>0</v>
      </c>
      <c r="BR25" s="130">
        <f>SUM(BR4:BR5,BR18:BR24)</f>
        <v>0</v>
      </c>
      <c r="BS25" s="130">
        <f aca="true" t="shared" si="17" ref="BS25:BX25">SUM(BS4:BS5,BS18:BS24)</f>
        <v>36069106.9</v>
      </c>
      <c r="BT25" s="130">
        <f t="shared" si="17"/>
        <v>0</v>
      </c>
      <c r="BU25" s="130">
        <f t="shared" si="17"/>
        <v>0</v>
      </c>
      <c r="BV25" s="130">
        <f>SUM(BV4:BV5,BV18:BV24)</f>
        <v>0</v>
      </c>
      <c r="BW25" s="130">
        <f>SUM(BW4:BW5,BW18:BW24)</f>
        <v>0</v>
      </c>
      <c r="BX25" s="130">
        <f t="shared" si="17"/>
        <v>0</v>
      </c>
      <c r="BY25" s="130">
        <f aca="true" t="shared" si="18" ref="BY25:CD25">SUM(BY4:BY5,BY18:BY24)</f>
        <v>36069106.9</v>
      </c>
      <c r="BZ25" s="130">
        <f t="shared" si="18"/>
        <v>0</v>
      </c>
      <c r="CA25" s="325">
        <f t="shared" si="18"/>
        <v>0</v>
      </c>
      <c r="CB25" s="325">
        <f t="shared" si="18"/>
        <v>0</v>
      </c>
      <c r="CC25" s="130">
        <f>SUM(CC4:CC5,CC18:CC24)</f>
        <v>36069106.9</v>
      </c>
      <c r="CD25" s="130">
        <f t="shared" si="18"/>
        <v>0</v>
      </c>
      <c r="CE25" s="131">
        <f>+CE24-BA20</f>
        <v>125613</v>
      </c>
      <c r="CF25" s="131"/>
    </row>
    <row r="26" spans="1:82" ht="15.75">
      <c r="A26" s="441" t="s">
        <v>37</v>
      </c>
      <c r="B26" s="442"/>
      <c r="C26" s="442"/>
      <c r="D26" s="44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00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</row>
    <row r="27" spans="1:82" ht="15.75">
      <c r="A27" s="13" t="s">
        <v>88</v>
      </c>
      <c r="B27" s="28"/>
      <c r="C27" s="28"/>
      <c r="D27" s="28"/>
      <c r="E27" s="12"/>
      <c r="F27" s="12">
        <v>3908317</v>
      </c>
      <c r="G27" s="12">
        <v>291500</v>
      </c>
      <c r="H27" s="12"/>
      <c r="I27" s="12"/>
      <c r="J27" s="12"/>
      <c r="K27" s="12"/>
      <c r="L27" s="12">
        <f>SUM(F27-G27+H27-I27+J27)</f>
        <v>3616817</v>
      </c>
      <c r="M27" s="12">
        <v>50900</v>
      </c>
      <c r="N27" s="12"/>
      <c r="O27" s="12"/>
      <c r="P27" s="12"/>
      <c r="Q27" s="12"/>
      <c r="R27" s="12">
        <f aca="true" t="shared" si="19" ref="R27:R32">SUM(L27-M27+N27-O27+P27)</f>
        <v>3565917</v>
      </c>
      <c r="S27" s="12">
        <v>385844</v>
      </c>
      <c r="T27" s="12"/>
      <c r="U27" s="12"/>
      <c r="V27" s="12"/>
      <c r="W27" s="12"/>
      <c r="X27" s="12">
        <f aca="true" t="shared" si="20" ref="X27:X32">SUM(R27-S27+T27-U27+V27)</f>
        <v>3180073</v>
      </c>
      <c r="Y27" s="12">
        <v>324000</v>
      </c>
      <c r="Z27" s="12"/>
      <c r="AA27" s="12"/>
      <c r="AB27" s="12"/>
      <c r="AC27" s="12"/>
      <c r="AD27" s="12">
        <f aca="true" t="shared" si="21" ref="AD27:AD32">SUM(X27-Y27+Z27-AA27+AB27)</f>
        <v>2856073</v>
      </c>
      <c r="AE27" s="12"/>
      <c r="AF27" s="200"/>
      <c r="AG27" s="12"/>
      <c r="AH27" s="12"/>
      <c r="AI27" s="12"/>
      <c r="AJ27" s="12">
        <f aca="true" t="shared" si="22" ref="AJ27:AJ32">SUM(AD27-AE27+AF27-AG27+AH27)</f>
        <v>2856073</v>
      </c>
      <c r="AK27" s="12">
        <v>486300</v>
      </c>
      <c r="AL27" s="12"/>
      <c r="AM27" s="12"/>
      <c r="AN27" s="12"/>
      <c r="AO27" s="12"/>
      <c r="AP27" s="12">
        <f aca="true" t="shared" si="23" ref="AP27:AP32">SUM(AJ27-AK27+AL27-AM27+AN27)</f>
        <v>2369773</v>
      </c>
      <c r="AQ27" s="12">
        <v>2180500</v>
      </c>
      <c r="AR27" s="12"/>
      <c r="AS27" s="12"/>
      <c r="AT27" s="12"/>
      <c r="AU27" s="12"/>
      <c r="AV27" s="12">
        <f>SUM(AP27-AQ27+AR27-AS27+AT27)</f>
        <v>189273</v>
      </c>
      <c r="AW27" s="12"/>
      <c r="AX27" s="12"/>
      <c r="AY27" s="12"/>
      <c r="AZ27" s="12"/>
      <c r="BA27" s="12"/>
      <c r="BB27" s="12">
        <f aca="true" t="shared" si="24" ref="BB27:BB32">SUM(AV27-AW27+AX27-AY27+AZ27)</f>
        <v>189273</v>
      </c>
      <c r="BC27" s="12"/>
      <c r="BD27" s="12"/>
      <c r="BE27" s="12"/>
      <c r="BF27" s="12"/>
      <c r="BG27" s="12"/>
      <c r="BH27" s="12">
        <f aca="true" t="shared" si="25" ref="BH27:BH32">SUM(BB27-BC27+BD27-BE27+BF27)</f>
        <v>189273</v>
      </c>
      <c r="BI27" s="12"/>
      <c r="BJ27" s="12"/>
      <c r="BK27" s="12"/>
      <c r="BL27" s="12"/>
      <c r="BM27" s="12"/>
      <c r="BN27" s="12">
        <f aca="true" t="shared" si="26" ref="BN27:BN32">SUM(BH27-BI27+BJ27-BK27+BL27)</f>
        <v>189273</v>
      </c>
      <c r="BO27" s="12"/>
      <c r="BP27" s="12"/>
      <c r="BQ27" s="12"/>
      <c r="BR27" s="12"/>
      <c r="BS27" s="12"/>
      <c r="BT27" s="12">
        <f aca="true" t="shared" si="27" ref="BT27:BT32">SUM(BN27-BO27+BP27-BQ27+BR27)</f>
        <v>189273</v>
      </c>
      <c r="BU27" s="12"/>
      <c r="BV27" s="12"/>
      <c r="BW27" s="12"/>
      <c r="BX27" s="12"/>
      <c r="BY27" s="12"/>
      <c r="BZ27" s="12">
        <f aca="true" t="shared" si="28" ref="BZ27:BZ32">SUM(BT27-BU27+BV27-BW27+BX27)</f>
        <v>189273</v>
      </c>
      <c r="CA27" s="12"/>
      <c r="CB27" s="12"/>
      <c r="CC27" s="12"/>
      <c r="CD27" s="12">
        <f>+BZ27+CB27-BY27-CA27</f>
        <v>189273</v>
      </c>
    </row>
    <row r="28" spans="1:82" ht="15.75">
      <c r="A28" s="13" t="s">
        <v>89</v>
      </c>
      <c r="B28" s="28"/>
      <c r="C28" s="28"/>
      <c r="D28" s="28"/>
      <c r="E28" s="12"/>
      <c r="F28" s="12">
        <v>0</v>
      </c>
      <c r="G28" s="12"/>
      <c r="H28" s="12"/>
      <c r="I28" s="12"/>
      <c r="J28" s="12"/>
      <c r="K28" s="12"/>
      <c r="L28" s="12">
        <f>SUM(F28-G28+H28-I28+J28)</f>
        <v>0</v>
      </c>
      <c r="M28" s="12"/>
      <c r="N28" s="12"/>
      <c r="O28" s="12"/>
      <c r="P28" s="12"/>
      <c r="Q28" s="12"/>
      <c r="R28" s="12">
        <f t="shared" si="19"/>
        <v>0</v>
      </c>
      <c r="S28" s="12"/>
      <c r="T28" s="12"/>
      <c r="U28" s="12"/>
      <c r="V28" s="12"/>
      <c r="W28" s="12"/>
      <c r="X28" s="12">
        <f t="shared" si="20"/>
        <v>0</v>
      </c>
      <c r="Y28" s="12"/>
      <c r="Z28" s="12"/>
      <c r="AA28" s="12"/>
      <c r="AB28" s="12"/>
      <c r="AC28" s="12"/>
      <c r="AD28" s="12">
        <f t="shared" si="21"/>
        <v>0</v>
      </c>
      <c r="AE28" s="12"/>
      <c r="AF28" s="200"/>
      <c r="AG28" s="12"/>
      <c r="AH28" s="12"/>
      <c r="AI28" s="12"/>
      <c r="AJ28" s="12">
        <f t="shared" si="22"/>
        <v>0</v>
      </c>
      <c r="AK28" s="12"/>
      <c r="AL28" s="12"/>
      <c r="AM28" s="12"/>
      <c r="AN28" s="12"/>
      <c r="AO28" s="12"/>
      <c r="AP28" s="12">
        <f t="shared" si="23"/>
        <v>0</v>
      </c>
      <c r="AQ28" s="12"/>
      <c r="AR28" s="12"/>
      <c r="AS28" s="12"/>
      <c r="AT28" s="12"/>
      <c r="AU28" s="12"/>
      <c r="AV28" s="12">
        <f>SUM(AP28-AQ28+AR28-AS28+AT28)</f>
        <v>0</v>
      </c>
      <c r="AW28" s="12"/>
      <c r="AX28" s="12"/>
      <c r="AY28" s="12"/>
      <c r="AZ28" s="12"/>
      <c r="BA28" s="12"/>
      <c r="BB28" s="12">
        <f t="shared" si="24"/>
        <v>0</v>
      </c>
      <c r="BC28" s="12"/>
      <c r="BD28" s="12"/>
      <c r="BE28" s="12"/>
      <c r="BF28" s="12"/>
      <c r="BG28" s="12"/>
      <c r="BH28" s="12">
        <f t="shared" si="25"/>
        <v>0</v>
      </c>
      <c r="BI28" s="12"/>
      <c r="BJ28" s="12"/>
      <c r="BK28" s="12"/>
      <c r="BL28" s="12"/>
      <c r="BM28" s="12"/>
      <c r="BN28" s="12">
        <f t="shared" si="26"/>
        <v>0</v>
      </c>
      <c r="BO28" s="12"/>
      <c r="BP28" s="12"/>
      <c r="BQ28" s="12"/>
      <c r="BR28" s="12"/>
      <c r="BS28" s="12"/>
      <c r="BT28" s="12">
        <f t="shared" si="27"/>
        <v>0</v>
      </c>
      <c r="BU28" s="12"/>
      <c r="BV28" s="12"/>
      <c r="BW28" s="12"/>
      <c r="BX28" s="12">
        <v>0</v>
      </c>
      <c r="BY28" s="12"/>
      <c r="BZ28" s="12">
        <f t="shared" si="28"/>
        <v>0</v>
      </c>
      <c r="CA28" s="12"/>
      <c r="CB28" s="12"/>
      <c r="CC28" s="12"/>
      <c r="CD28" s="12">
        <f>+CA28-BZ28</f>
        <v>0</v>
      </c>
    </row>
    <row r="29" spans="1:82" ht="15.75">
      <c r="A29" s="13" t="s">
        <v>573</v>
      </c>
      <c r="B29" s="28"/>
      <c r="C29" s="28"/>
      <c r="D29" s="28"/>
      <c r="E29" s="12"/>
      <c r="F29" s="12">
        <v>0</v>
      </c>
      <c r="G29" s="12"/>
      <c r="H29" s="12"/>
      <c r="I29" s="12"/>
      <c r="J29" s="12"/>
      <c r="K29" s="12"/>
      <c r="L29" s="12">
        <f>SUM(F29-G29+H29-I29+J29)</f>
        <v>0</v>
      </c>
      <c r="M29" s="12"/>
      <c r="N29" s="12"/>
      <c r="O29" s="12"/>
      <c r="P29" s="12"/>
      <c r="Q29" s="12"/>
      <c r="R29" s="12">
        <f t="shared" si="19"/>
        <v>0</v>
      </c>
      <c r="S29" s="12"/>
      <c r="T29" s="12"/>
      <c r="U29" s="12"/>
      <c r="V29" s="12"/>
      <c r="W29" s="12"/>
      <c r="X29" s="12">
        <f t="shared" si="20"/>
        <v>0</v>
      </c>
      <c r="Y29" s="12"/>
      <c r="Z29" s="12"/>
      <c r="AA29" s="12"/>
      <c r="AB29" s="12"/>
      <c r="AC29" s="12"/>
      <c r="AD29" s="12">
        <f t="shared" si="21"/>
        <v>0</v>
      </c>
      <c r="AE29" s="12"/>
      <c r="AF29" s="200"/>
      <c r="AG29" s="12"/>
      <c r="AH29" s="12"/>
      <c r="AI29" s="12"/>
      <c r="AJ29" s="12">
        <f t="shared" si="22"/>
        <v>0</v>
      </c>
      <c r="AK29" s="12"/>
      <c r="AL29" s="12"/>
      <c r="AM29" s="12"/>
      <c r="AN29" s="12"/>
      <c r="AO29" s="12"/>
      <c r="AP29" s="12">
        <f t="shared" si="23"/>
        <v>0</v>
      </c>
      <c r="AQ29" s="12">
        <v>0</v>
      </c>
      <c r="AR29" s="12">
        <v>5436000</v>
      </c>
      <c r="AS29" s="12"/>
      <c r="AT29" s="12"/>
      <c r="AU29" s="12"/>
      <c r="AV29" s="12">
        <f>SUM(AP29-AQ29+AR29-AS29+AT29)</f>
        <v>5436000</v>
      </c>
      <c r="AW29" s="12"/>
      <c r="AX29" s="12">
        <v>6192300</v>
      </c>
      <c r="AY29" s="12"/>
      <c r="AZ29" s="12"/>
      <c r="BA29" s="12"/>
      <c r="BB29" s="12">
        <f t="shared" si="24"/>
        <v>11628300</v>
      </c>
      <c r="BC29" s="12"/>
      <c r="BD29" s="12"/>
      <c r="BE29" s="12"/>
      <c r="BF29" s="12"/>
      <c r="BG29" s="12"/>
      <c r="BH29" s="12">
        <f t="shared" si="25"/>
        <v>11628300</v>
      </c>
      <c r="BI29" s="12"/>
      <c r="BJ29" s="12"/>
      <c r="BK29" s="12"/>
      <c r="BL29" s="12"/>
      <c r="BM29" s="12"/>
      <c r="BN29" s="12">
        <f t="shared" si="26"/>
        <v>11628300</v>
      </c>
      <c r="BO29" s="12"/>
      <c r="BP29" s="12"/>
      <c r="BQ29" s="12"/>
      <c r="BR29" s="12"/>
      <c r="BS29" s="12"/>
      <c r="BT29" s="12">
        <f t="shared" si="27"/>
        <v>11628300</v>
      </c>
      <c r="BU29" s="12"/>
      <c r="BV29" s="12"/>
      <c r="BW29" s="12"/>
      <c r="BX29" s="12"/>
      <c r="BY29" s="12"/>
      <c r="BZ29" s="12">
        <f t="shared" si="28"/>
        <v>11628300</v>
      </c>
      <c r="CA29" s="12"/>
      <c r="CB29" s="12"/>
      <c r="CC29" s="12"/>
      <c r="CD29" s="12">
        <f>+BZ29+CB29-BY29-CA29</f>
        <v>11628300</v>
      </c>
    </row>
    <row r="30" spans="1:82" ht="15.75">
      <c r="A30" s="13"/>
      <c r="B30" s="28"/>
      <c r="C30" s="28"/>
      <c r="D30" s="28"/>
      <c r="E30" s="12"/>
      <c r="F30" s="12">
        <v>0</v>
      </c>
      <c r="G30" s="12"/>
      <c r="H30" s="12"/>
      <c r="I30" s="12"/>
      <c r="J30" s="12"/>
      <c r="K30" s="12"/>
      <c r="L30" s="12">
        <f>SUM(F30-G30+H30-I30+J30)</f>
        <v>0</v>
      </c>
      <c r="M30" s="12"/>
      <c r="N30" s="12"/>
      <c r="O30" s="12"/>
      <c r="P30" s="12"/>
      <c r="Q30" s="12"/>
      <c r="R30" s="12">
        <f t="shared" si="19"/>
        <v>0</v>
      </c>
      <c r="S30" s="12"/>
      <c r="T30" s="12"/>
      <c r="U30" s="12"/>
      <c r="V30" s="12"/>
      <c r="W30" s="12"/>
      <c r="X30" s="12">
        <f t="shared" si="20"/>
        <v>0</v>
      </c>
      <c r="Y30" s="12"/>
      <c r="Z30" s="12"/>
      <c r="AA30" s="12"/>
      <c r="AB30" s="12"/>
      <c r="AC30" s="12"/>
      <c r="AD30" s="12">
        <f t="shared" si="21"/>
        <v>0</v>
      </c>
      <c r="AE30" s="12"/>
      <c r="AF30" s="200"/>
      <c r="AG30" s="12"/>
      <c r="AH30" s="12"/>
      <c r="AI30" s="12"/>
      <c r="AJ30" s="12">
        <f t="shared" si="22"/>
        <v>0</v>
      </c>
      <c r="AK30" s="12"/>
      <c r="AL30" s="12"/>
      <c r="AM30" s="12"/>
      <c r="AN30" s="12"/>
      <c r="AO30" s="12"/>
      <c r="AP30" s="12">
        <f t="shared" si="23"/>
        <v>0</v>
      </c>
      <c r="AQ30" s="12"/>
      <c r="AR30" s="12"/>
      <c r="AS30" s="12"/>
      <c r="AT30" s="12"/>
      <c r="AU30" s="12"/>
      <c r="AV30" s="12">
        <f>SUM(AP30-AQ30+AR30-AS30+AT30)</f>
        <v>0</v>
      </c>
      <c r="AW30" s="12"/>
      <c r="AX30" s="12"/>
      <c r="AY30" s="12"/>
      <c r="AZ30" s="12"/>
      <c r="BA30" s="12"/>
      <c r="BB30" s="12">
        <f t="shared" si="24"/>
        <v>0</v>
      </c>
      <c r="BC30" s="12"/>
      <c r="BD30" s="12"/>
      <c r="BE30" s="12"/>
      <c r="BF30" s="12"/>
      <c r="BG30" s="12"/>
      <c r="BH30" s="12">
        <f t="shared" si="25"/>
        <v>0</v>
      </c>
      <c r="BI30" s="12"/>
      <c r="BJ30" s="12"/>
      <c r="BK30" s="12"/>
      <c r="BL30" s="12"/>
      <c r="BM30" s="12"/>
      <c r="BN30" s="12">
        <f t="shared" si="26"/>
        <v>0</v>
      </c>
      <c r="BO30" s="12"/>
      <c r="BP30" s="12"/>
      <c r="BQ30" s="12"/>
      <c r="BR30" s="12"/>
      <c r="BS30" s="12"/>
      <c r="BT30" s="12">
        <f t="shared" si="27"/>
        <v>0</v>
      </c>
      <c r="BU30" s="12"/>
      <c r="BV30" s="12"/>
      <c r="BW30" s="12"/>
      <c r="BX30" s="12"/>
      <c r="BY30" s="12"/>
      <c r="BZ30" s="12">
        <f t="shared" si="28"/>
        <v>0</v>
      </c>
      <c r="CA30" s="12"/>
      <c r="CB30" s="12"/>
      <c r="CC30" s="12"/>
      <c r="CD30" s="12">
        <f>+BZ30+CB30-BY30-CA30</f>
        <v>0</v>
      </c>
    </row>
    <row r="31" spans="1:82" ht="15.75">
      <c r="A31" s="13"/>
      <c r="B31" s="28"/>
      <c r="C31" s="28"/>
      <c r="D31" s="28"/>
      <c r="E31" s="12"/>
      <c r="F31" s="12"/>
      <c r="G31" s="12"/>
      <c r="H31" s="12"/>
      <c r="I31" s="12"/>
      <c r="J31" s="12"/>
      <c r="K31" s="12"/>
      <c r="L31" s="12">
        <f>SUM(F31-G31+H31-I31+J31)</f>
        <v>0</v>
      </c>
      <c r="M31" s="12"/>
      <c r="N31" s="12"/>
      <c r="O31" s="12"/>
      <c r="P31" s="12"/>
      <c r="Q31" s="12"/>
      <c r="R31" s="12">
        <f t="shared" si="19"/>
        <v>0</v>
      </c>
      <c r="S31" s="12"/>
      <c r="T31" s="12"/>
      <c r="U31" s="12"/>
      <c r="V31" s="12"/>
      <c r="W31" s="12"/>
      <c r="X31" s="12">
        <f t="shared" si="20"/>
        <v>0</v>
      </c>
      <c r="Y31" s="12"/>
      <c r="Z31" s="12"/>
      <c r="AA31" s="12"/>
      <c r="AB31" s="12"/>
      <c r="AC31" s="12"/>
      <c r="AD31" s="12">
        <f t="shared" si="21"/>
        <v>0</v>
      </c>
      <c r="AE31" s="12"/>
      <c r="AF31" s="200"/>
      <c r="AG31" s="12"/>
      <c r="AH31" s="12"/>
      <c r="AI31" s="12"/>
      <c r="AJ31" s="12">
        <f t="shared" si="22"/>
        <v>0</v>
      </c>
      <c r="AK31" s="12"/>
      <c r="AL31" s="12"/>
      <c r="AM31" s="12"/>
      <c r="AN31" s="12"/>
      <c r="AO31" s="12"/>
      <c r="AP31" s="12">
        <f t="shared" si="23"/>
        <v>0</v>
      </c>
      <c r="AQ31" s="12"/>
      <c r="AR31" s="12"/>
      <c r="AS31" s="12"/>
      <c r="AT31" s="12"/>
      <c r="AU31" s="12"/>
      <c r="AV31" s="12">
        <f>SUM(AP31-AQ31+AR31-AS31+AT31)</f>
        <v>0</v>
      </c>
      <c r="AW31" s="12"/>
      <c r="AX31" s="12"/>
      <c r="AY31" s="12"/>
      <c r="AZ31" s="12"/>
      <c r="BA31" s="12"/>
      <c r="BB31" s="12">
        <f t="shared" si="24"/>
        <v>0</v>
      </c>
      <c r="BC31" s="12"/>
      <c r="BD31" s="12"/>
      <c r="BE31" s="12"/>
      <c r="BF31" s="12"/>
      <c r="BG31" s="12"/>
      <c r="BH31" s="12">
        <f t="shared" si="25"/>
        <v>0</v>
      </c>
      <c r="BI31" s="12"/>
      <c r="BJ31" s="12"/>
      <c r="BK31" s="12"/>
      <c r="BL31" s="12"/>
      <c r="BM31" s="12"/>
      <c r="BN31" s="12">
        <f t="shared" si="26"/>
        <v>0</v>
      </c>
      <c r="BO31" s="12"/>
      <c r="BP31" s="12"/>
      <c r="BQ31" s="12"/>
      <c r="BR31" s="12"/>
      <c r="BS31" s="12"/>
      <c r="BT31" s="12">
        <f t="shared" si="27"/>
        <v>0</v>
      </c>
      <c r="BU31" s="12"/>
      <c r="BV31" s="12"/>
      <c r="BW31" s="12"/>
      <c r="BX31" s="12"/>
      <c r="BY31" s="12"/>
      <c r="BZ31" s="12">
        <f t="shared" si="28"/>
        <v>0</v>
      </c>
      <c r="CA31" s="12"/>
      <c r="CB31" s="12"/>
      <c r="CC31" s="12"/>
      <c r="CD31" s="12">
        <f>SUM(BX31-BY31+BZ31-CA31+CB31)</f>
        <v>0</v>
      </c>
    </row>
    <row r="32" spans="1:82" ht="15.75">
      <c r="A32" s="13"/>
      <c r="B32" s="28"/>
      <c r="C32" s="28"/>
      <c r="D32" s="28"/>
      <c r="E32" s="12"/>
      <c r="F32" s="12"/>
      <c r="G32" s="12"/>
      <c r="H32" s="12"/>
      <c r="I32" s="12"/>
      <c r="J32" s="12"/>
      <c r="K32" s="12"/>
      <c r="L32" s="12">
        <f>SUM(F32-G32+H32-I32+J32)</f>
        <v>0</v>
      </c>
      <c r="M32" s="12"/>
      <c r="N32" s="12"/>
      <c r="O32" s="12"/>
      <c r="P32" s="12"/>
      <c r="Q32" s="12"/>
      <c r="R32" s="12">
        <f t="shared" si="19"/>
        <v>0</v>
      </c>
      <c r="S32" s="12"/>
      <c r="T32" s="12"/>
      <c r="U32" s="12"/>
      <c r="V32" s="12"/>
      <c r="W32" s="12"/>
      <c r="X32" s="12">
        <f t="shared" si="20"/>
        <v>0</v>
      </c>
      <c r="Y32" s="12"/>
      <c r="Z32" s="12"/>
      <c r="AA32" s="12"/>
      <c r="AB32" s="12"/>
      <c r="AC32" s="12"/>
      <c r="AD32" s="12">
        <f t="shared" si="21"/>
        <v>0</v>
      </c>
      <c r="AE32" s="12"/>
      <c r="AF32" s="200"/>
      <c r="AG32" s="12"/>
      <c r="AH32" s="12"/>
      <c r="AI32" s="12"/>
      <c r="AJ32" s="12">
        <f t="shared" si="22"/>
        <v>0</v>
      </c>
      <c r="AK32" s="12"/>
      <c r="AL32" s="12"/>
      <c r="AM32" s="12"/>
      <c r="AN32" s="12"/>
      <c r="AO32" s="12"/>
      <c r="AP32" s="12">
        <f t="shared" si="23"/>
        <v>0</v>
      </c>
      <c r="AQ32" s="12"/>
      <c r="AR32" s="12"/>
      <c r="AS32" s="12"/>
      <c r="AT32" s="12"/>
      <c r="AU32" s="12"/>
      <c r="AV32" s="12">
        <f>SUM(AP32-AQ32+AR32-AS32+AT32)</f>
        <v>0</v>
      </c>
      <c r="AW32" s="12"/>
      <c r="AX32" s="12"/>
      <c r="AY32" s="12"/>
      <c r="AZ32" s="12"/>
      <c r="BA32" s="12"/>
      <c r="BB32" s="12">
        <f t="shared" si="24"/>
        <v>0</v>
      </c>
      <c r="BC32" s="12"/>
      <c r="BD32" s="12"/>
      <c r="BE32" s="12"/>
      <c r="BF32" s="12"/>
      <c r="BG32" s="12"/>
      <c r="BH32" s="12">
        <f t="shared" si="25"/>
        <v>0</v>
      </c>
      <c r="BI32" s="12"/>
      <c r="BJ32" s="12"/>
      <c r="BK32" s="12"/>
      <c r="BL32" s="12"/>
      <c r="BM32" s="12"/>
      <c r="BN32" s="12">
        <f t="shared" si="26"/>
        <v>0</v>
      </c>
      <c r="BO32" s="12"/>
      <c r="BP32" s="12"/>
      <c r="BQ32" s="12"/>
      <c r="BR32" s="12"/>
      <c r="BS32" s="12"/>
      <c r="BT32" s="12">
        <f t="shared" si="27"/>
        <v>0</v>
      </c>
      <c r="BU32" s="12"/>
      <c r="BV32" s="12"/>
      <c r="BW32" s="12"/>
      <c r="BX32" s="12"/>
      <c r="BY32" s="12"/>
      <c r="BZ32" s="12">
        <f t="shared" si="28"/>
        <v>0</v>
      </c>
      <c r="CA32" s="12"/>
      <c r="CB32" s="12"/>
      <c r="CC32" s="12"/>
      <c r="CD32" s="12">
        <f>SUM(BX32-BY32+BZ32-CA32+CB32)</f>
        <v>0</v>
      </c>
    </row>
    <row r="33" spans="1:84" s="31" customFormat="1" ht="15.75">
      <c r="A33" s="48" t="s">
        <v>83</v>
      </c>
      <c r="B33" s="29"/>
      <c r="C33" s="29"/>
      <c r="D33" s="29"/>
      <c r="E33" s="9">
        <f>SUM(E34:E42)</f>
        <v>0</v>
      </c>
      <c r="F33" s="9">
        <f>SUM(F34:F43)</f>
        <v>370463.43</v>
      </c>
      <c r="G33" s="9">
        <f>SUM(G34:G45)</f>
        <v>203489.04</v>
      </c>
      <c r="H33" s="9">
        <f>SUM(H34:H45)</f>
        <v>562487.3</v>
      </c>
      <c r="I33" s="9">
        <f aca="true" t="shared" si="29" ref="I33:BT33">SUM(I34:I45)</f>
        <v>0</v>
      </c>
      <c r="J33" s="9">
        <f t="shared" si="29"/>
        <v>0</v>
      </c>
      <c r="K33" s="9">
        <f t="shared" si="29"/>
        <v>0</v>
      </c>
      <c r="L33" s="9">
        <f>SUM(L34:L45)</f>
        <v>729461.69</v>
      </c>
      <c r="M33" s="9">
        <f t="shared" si="29"/>
        <v>16051.3</v>
      </c>
      <c r="N33" s="9">
        <f t="shared" si="29"/>
        <v>55131.81</v>
      </c>
      <c r="O33" s="9">
        <f t="shared" si="29"/>
        <v>14279.47</v>
      </c>
      <c r="P33" s="9">
        <f t="shared" si="29"/>
        <v>0</v>
      </c>
      <c r="Q33" s="9">
        <f>SUM(Q34:Q45)</f>
        <v>0</v>
      </c>
      <c r="R33" s="9">
        <f>SUM(R34:R45)</f>
        <v>754262.73</v>
      </c>
      <c r="S33" s="9">
        <f t="shared" si="29"/>
        <v>255977.81</v>
      </c>
      <c r="T33" s="9">
        <f t="shared" si="29"/>
        <v>269911.14</v>
      </c>
      <c r="U33" s="9">
        <f t="shared" si="29"/>
        <v>0</v>
      </c>
      <c r="V33" s="9">
        <f t="shared" si="29"/>
        <v>0</v>
      </c>
      <c r="W33" s="9">
        <f t="shared" si="29"/>
        <v>0</v>
      </c>
      <c r="X33" s="9">
        <f>SUM(X34:X45)</f>
        <v>768196.06</v>
      </c>
      <c r="Y33" s="9">
        <f t="shared" si="29"/>
        <v>13870.14</v>
      </c>
      <c r="Z33" s="9">
        <f t="shared" si="29"/>
        <v>283047.48</v>
      </c>
      <c r="AA33" s="9">
        <f t="shared" si="29"/>
        <v>16200</v>
      </c>
      <c r="AB33" s="9">
        <f t="shared" si="29"/>
        <v>16200</v>
      </c>
      <c r="AC33" s="9">
        <f t="shared" si="29"/>
        <v>0</v>
      </c>
      <c r="AD33" s="9">
        <f>SUM(AD34:AD45)</f>
        <v>1037373.4</v>
      </c>
      <c r="AE33" s="9">
        <f t="shared" si="29"/>
        <v>215060.85</v>
      </c>
      <c r="AF33" s="9">
        <f t="shared" si="29"/>
        <v>365253.19</v>
      </c>
      <c r="AG33" s="9">
        <f t="shared" si="29"/>
        <v>0</v>
      </c>
      <c r="AH33" s="9">
        <f t="shared" si="29"/>
        <v>0</v>
      </c>
      <c r="AI33" s="9">
        <f t="shared" si="29"/>
        <v>0</v>
      </c>
      <c r="AJ33" s="9">
        <f t="shared" si="29"/>
        <v>1187565.74</v>
      </c>
      <c r="AK33" s="9">
        <f t="shared" si="29"/>
        <v>248706.01</v>
      </c>
      <c r="AL33" s="9">
        <f t="shared" si="29"/>
        <v>271335.11</v>
      </c>
      <c r="AM33" s="9">
        <f t="shared" si="29"/>
        <v>0</v>
      </c>
      <c r="AN33" s="9">
        <f t="shared" si="29"/>
        <v>0</v>
      </c>
      <c r="AO33" s="9">
        <f t="shared" si="29"/>
        <v>0</v>
      </c>
      <c r="AP33" s="9">
        <f>SUM(AP34:AP45)</f>
        <v>1210194.84</v>
      </c>
      <c r="AQ33" s="9">
        <f t="shared" si="29"/>
        <v>59516.03</v>
      </c>
      <c r="AR33" s="9">
        <f>SUM(AR34:AR45)</f>
        <v>286933.18</v>
      </c>
      <c r="AS33" s="9">
        <f t="shared" si="29"/>
        <v>0</v>
      </c>
      <c r="AT33" s="9">
        <f t="shared" si="29"/>
        <v>231294.61</v>
      </c>
      <c r="AU33" s="9">
        <f t="shared" si="29"/>
        <v>0</v>
      </c>
      <c r="AV33" s="9">
        <f>SUM(AV34:AV45)</f>
        <v>1668906.5999999999</v>
      </c>
      <c r="AW33" s="9">
        <f t="shared" si="29"/>
        <v>260993.55</v>
      </c>
      <c r="AX33" s="9">
        <f>SUM(AX34:AX45)</f>
        <v>99465.5</v>
      </c>
      <c r="AY33" s="9">
        <f t="shared" si="29"/>
        <v>0</v>
      </c>
      <c r="AZ33" s="9">
        <f t="shared" si="29"/>
        <v>0</v>
      </c>
      <c r="BA33" s="9">
        <f t="shared" si="29"/>
        <v>0</v>
      </c>
      <c r="BB33" s="9">
        <f>SUM(BB34:BB45)</f>
        <v>1507378.5499999998</v>
      </c>
      <c r="BC33" s="9">
        <f t="shared" si="29"/>
        <v>0</v>
      </c>
      <c r="BD33" s="9">
        <f t="shared" si="29"/>
        <v>0</v>
      </c>
      <c r="BE33" s="9">
        <f t="shared" si="29"/>
        <v>0</v>
      </c>
      <c r="BF33" s="9">
        <f t="shared" si="29"/>
        <v>0</v>
      </c>
      <c r="BG33" s="9">
        <f t="shared" si="29"/>
        <v>0</v>
      </c>
      <c r="BH33" s="9">
        <f>SUM(BH34:BH45)</f>
        <v>1507378.5499999998</v>
      </c>
      <c r="BI33" s="9">
        <f t="shared" si="29"/>
        <v>0</v>
      </c>
      <c r="BJ33" s="9">
        <f t="shared" si="29"/>
        <v>0</v>
      </c>
      <c r="BK33" s="9">
        <f t="shared" si="29"/>
        <v>0</v>
      </c>
      <c r="BL33" s="9">
        <f t="shared" si="29"/>
        <v>0</v>
      </c>
      <c r="BM33" s="9">
        <f t="shared" si="29"/>
        <v>0</v>
      </c>
      <c r="BN33" s="9">
        <f>SUM(BN34:BN45)</f>
        <v>1507378.5499999998</v>
      </c>
      <c r="BO33" s="9">
        <f t="shared" si="29"/>
        <v>0</v>
      </c>
      <c r="BP33" s="9">
        <f t="shared" si="29"/>
        <v>0</v>
      </c>
      <c r="BQ33" s="9">
        <f t="shared" si="29"/>
        <v>0</v>
      </c>
      <c r="BR33" s="9">
        <f t="shared" si="29"/>
        <v>0</v>
      </c>
      <c r="BS33" s="9">
        <f t="shared" si="29"/>
        <v>0</v>
      </c>
      <c r="BT33" s="9">
        <f t="shared" si="29"/>
        <v>1507378.5499999998</v>
      </c>
      <c r="BU33" s="9">
        <f aca="true" t="shared" si="30" ref="BU33:CD33">SUM(BU34:BU45)</f>
        <v>0</v>
      </c>
      <c r="BV33" s="9">
        <f t="shared" si="30"/>
        <v>0</v>
      </c>
      <c r="BW33" s="9">
        <f t="shared" si="30"/>
        <v>0</v>
      </c>
      <c r="BX33" s="9">
        <f t="shared" si="30"/>
        <v>0</v>
      </c>
      <c r="BY33" s="9">
        <f t="shared" si="30"/>
        <v>0</v>
      </c>
      <c r="BZ33" s="9">
        <f t="shared" si="30"/>
        <v>1507378.5499999998</v>
      </c>
      <c r="CA33" s="12">
        <f t="shared" si="30"/>
        <v>0</v>
      </c>
      <c r="CB33" s="12">
        <f t="shared" si="30"/>
        <v>0</v>
      </c>
      <c r="CC33" s="9">
        <f t="shared" si="30"/>
        <v>0</v>
      </c>
      <c r="CD33" s="9">
        <f t="shared" si="30"/>
        <v>1507378.5499999998</v>
      </c>
      <c r="CE33" s="96"/>
      <c r="CF33" s="96"/>
    </row>
    <row r="34" spans="1:82" ht="15.75">
      <c r="A34" s="35"/>
      <c r="B34" s="45" t="s">
        <v>26</v>
      </c>
      <c r="C34" s="45"/>
      <c r="D34" s="45"/>
      <c r="E34" s="37"/>
      <c r="F34" s="37">
        <v>26089.04</v>
      </c>
      <c r="G34" s="37">
        <v>26089.04</v>
      </c>
      <c r="H34" s="37">
        <v>2997.3</v>
      </c>
      <c r="I34" s="37"/>
      <c r="J34" s="37"/>
      <c r="K34" s="37"/>
      <c r="L34" s="14">
        <f>+F34+H34-G34+J34-I34</f>
        <v>2997.2999999999993</v>
      </c>
      <c r="M34" s="37">
        <v>2997.3</v>
      </c>
      <c r="N34" s="37">
        <v>1082.81</v>
      </c>
      <c r="O34" s="37"/>
      <c r="P34" s="37"/>
      <c r="Q34" s="37"/>
      <c r="R34" s="37">
        <f aca="true" t="shared" si="31" ref="R34:R47">SUM(L34-M34+N34-O34+P34)</f>
        <v>1082.809999999999</v>
      </c>
      <c r="S34" s="37">
        <v>1082.81</v>
      </c>
      <c r="T34" s="37">
        <v>6686.14</v>
      </c>
      <c r="U34" s="37"/>
      <c r="V34" s="37"/>
      <c r="W34" s="37"/>
      <c r="X34" s="37">
        <f aca="true" t="shared" si="32" ref="X34:X47">SUM(R34-S34+T34-U34+V34)</f>
        <v>6686.139999999999</v>
      </c>
      <c r="Y34" s="37">
        <v>6686.14</v>
      </c>
      <c r="Z34" s="37">
        <v>10889.1</v>
      </c>
      <c r="AA34" s="37"/>
      <c r="AB34" s="37"/>
      <c r="AC34" s="37"/>
      <c r="AD34" s="37">
        <f aca="true" t="shared" si="33" ref="AD34:AD47">SUM(X34-Y34+Z34-AA34+AB34)</f>
        <v>10889.099999999999</v>
      </c>
      <c r="AE34" s="37">
        <v>10889.1</v>
      </c>
      <c r="AF34" s="37">
        <v>1394.01</v>
      </c>
      <c r="AG34" s="37"/>
      <c r="AH34" s="37"/>
      <c r="AI34" s="37"/>
      <c r="AJ34" s="37">
        <f aca="true" t="shared" si="34" ref="AJ34:AJ47">SUM(AD34-AE34+AF34-AG34+AH34)</f>
        <v>1394.0099999999982</v>
      </c>
      <c r="AK34" s="37">
        <v>1394.01</v>
      </c>
      <c r="AL34" s="37">
        <v>56311.03</v>
      </c>
      <c r="AM34" s="37"/>
      <c r="AN34" s="37"/>
      <c r="AO34" s="37"/>
      <c r="AP34" s="37">
        <f aca="true" t="shared" si="35" ref="AP34:AP47">SUM(AJ34-AK34+AL34-AM34+AN34)</f>
        <v>56311.03</v>
      </c>
      <c r="AQ34" s="37">
        <v>56311.03</v>
      </c>
      <c r="AR34" s="37">
        <v>74427.05</v>
      </c>
      <c r="AS34" s="37"/>
      <c r="AT34" s="37"/>
      <c r="AU34" s="37"/>
      <c r="AV34" s="37">
        <f aca="true" t="shared" si="36" ref="AV34:AV47">SUM(AP34-AQ34+AR34-AS34+AT34)</f>
        <v>74427.05</v>
      </c>
      <c r="AW34" s="37">
        <v>74427.05</v>
      </c>
      <c r="AX34" s="37">
        <v>59710.76</v>
      </c>
      <c r="AY34" s="37"/>
      <c r="AZ34" s="37"/>
      <c r="BA34" s="37"/>
      <c r="BB34" s="37">
        <f aca="true" t="shared" si="37" ref="BB34:BB45">SUM(AV34-AW34+AX34-AY34+AZ34)</f>
        <v>59710.76</v>
      </c>
      <c r="BC34" s="37"/>
      <c r="BD34" s="37"/>
      <c r="BE34" s="37"/>
      <c r="BF34" s="37"/>
      <c r="BG34" s="37"/>
      <c r="BH34" s="37">
        <f aca="true" t="shared" si="38" ref="BH34:BH45">SUM(BB34-BC34+BD34-BE34+BF34)</f>
        <v>59710.76</v>
      </c>
      <c r="BI34" s="37"/>
      <c r="BJ34" s="37"/>
      <c r="BK34" s="37"/>
      <c r="BL34" s="37"/>
      <c r="BM34" s="37"/>
      <c r="BN34" s="37">
        <f aca="true" t="shared" si="39" ref="BN34:BN45">SUM(BH34-BI34+BJ34-BK34+BL34)</f>
        <v>59710.76</v>
      </c>
      <c r="BO34" s="37"/>
      <c r="BP34" s="37"/>
      <c r="BQ34" s="37"/>
      <c r="BR34" s="37"/>
      <c r="BS34" s="37"/>
      <c r="BT34" s="37">
        <f aca="true" t="shared" si="40" ref="BT34:BT47">SUM(BN34-BO34+BP34-BQ34+BR34)</f>
        <v>59710.76</v>
      </c>
      <c r="BU34" s="37"/>
      <c r="BV34" s="37"/>
      <c r="BW34" s="37"/>
      <c r="BX34" s="37"/>
      <c r="BY34" s="37"/>
      <c r="BZ34" s="37">
        <f aca="true" t="shared" si="41" ref="BZ34:BZ45">SUM(BT34-BU34+BV34-BW34+BX34)</f>
        <v>59710.76</v>
      </c>
      <c r="CA34" s="37"/>
      <c r="CB34" s="37"/>
      <c r="CC34" s="37"/>
      <c r="CD34" s="14">
        <f aca="true" t="shared" si="42" ref="CD34:CD41">+BZ34+CA34-CB34</f>
        <v>59710.76</v>
      </c>
    </row>
    <row r="35" spans="1:82" ht="15.75">
      <c r="A35" s="46"/>
      <c r="B35" s="47" t="s">
        <v>84</v>
      </c>
      <c r="C35" s="47"/>
      <c r="D35" s="47"/>
      <c r="E35" s="40"/>
      <c r="F35" s="40">
        <v>4979.77</v>
      </c>
      <c r="G35" s="40"/>
      <c r="H35" s="40"/>
      <c r="I35" s="40"/>
      <c r="J35" s="40"/>
      <c r="K35" s="40"/>
      <c r="L35" s="40">
        <f aca="true" t="shared" si="43" ref="L35:L44">+F35+H35-G35+J35-I35</f>
        <v>4979.77</v>
      </c>
      <c r="M35" s="40"/>
      <c r="N35" s="40"/>
      <c r="O35" s="40"/>
      <c r="P35" s="40"/>
      <c r="Q35" s="40"/>
      <c r="R35" s="40">
        <f t="shared" si="31"/>
        <v>4979.77</v>
      </c>
      <c r="S35" s="40"/>
      <c r="T35" s="40"/>
      <c r="U35" s="40"/>
      <c r="V35" s="40"/>
      <c r="W35" s="40"/>
      <c r="X35" s="40">
        <f t="shared" si="32"/>
        <v>4979.77</v>
      </c>
      <c r="Y35" s="40"/>
      <c r="Z35" s="40">
        <v>18.38</v>
      </c>
      <c r="AA35" s="40"/>
      <c r="AB35" s="40"/>
      <c r="AC35" s="40"/>
      <c r="AD35" s="40">
        <f t="shared" si="33"/>
        <v>4998.150000000001</v>
      </c>
      <c r="AE35" s="40"/>
      <c r="AF35" s="40">
        <v>84.43</v>
      </c>
      <c r="AG35" s="40"/>
      <c r="AH35" s="40"/>
      <c r="AI35" s="40"/>
      <c r="AJ35" s="40">
        <f t="shared" si="34"/>
        <v>5082.580000000001</v>
      </c>
      <c r="AK35" s="40"/>
      <c r="AL35" s="40">
        <v>253.17</v>
      </c>
      <c r="AM35" s="40"/>
      <c r="AN35" s="40"/>
      <c r="AO35" s="40"/>
      <c r="AP35" s="40">
        <f t="shared" si="35"/>
        <v>5335.750000000001</v>
      </c>
      <c r="AQ35" s="40">
        <v>0</v>
      </c>
      <c r="AR35" s="40">
        <v>123.63</v>
      </c>
      <c r="AS35" s="40"/>
      <c r="AT35" s="40"/>
      <c r="AU35" s="40"/>
      <c r="AV35" s="40">
        <f t="shared" si="36"/>
        <v>5459.380000000001</v>
      </c>
      <c r="AW35" s="40">
        <v>0</v>
      </c>
      <c r="AX35" s="40">
        <v>45.74</v>
      </c>
      <c r="AY35" s="40"/>
      <c r="AZ35" s="40"/>
      <c r="BA35" s="40"/>
      <c r="BB35" s="40">
        <f t="shared" si="37"/>
        <v>5505.120000000001</v>
      </c>
      <c r="BC35" s="40"/>
      <c r="BD35" s="40"/>
      <c r="BE35" s="40"/>
      <c r="BF35" s="40"/>
      <c r="BG35" s="40"/>
      <c r="BH35" s="40">
        <f t="shared" si="38"/>
        <v>5505.120000000001</v>
      </c>
      <c r="BI35" s="40"/>
      <c r="BJ35" s="40"/>
      <c r="BK35" s="40"/>
      <c r="BL35" s="40"/>
      <c r="BM35" s="40"/>
      <c r="BN35" s="40">
        <f t="shared" si="39"/>
        <v>5505.120000000001</v>
      </c>
      <c r="BO35" s="40"/>
      <c r="BP35" s="40"/>
      <c r="BQ35" s="40"/>
      <c r="BR35" s="40"/>
      <c r="BS35" s="40"/>
      <c r="BT35" s="40">
        <f t="shared" si="40"/>
        <v>5505.120000000001</v>
      </c>
      <c r="BU35" s="40"/>
      <c r="BV35" s="40"/>
      <c r="BW35" s="40"/>
      <c r="BX35" s="40"/>
      <c r="BY35" s="40"/>
      <c r="BZ35" s="40">
        <f t="shared" si="41"/>
        <v>5505.120000000001</v>
      </c>
      <c r="CA35" s="40"/>
      <c r="CB35" s="40"/>
      <c r="CC35" s="40"/>
      <c r="CD35" s="40">
        <f t="shared" si="42"/>
        <v>5505.120000000001</v>
      </c>
    </row>
    <row r="36" spans="1:82" ht="15.75">
      <c r="A36" s="46"/>
      <c r="B36" s="47" t="s">
        <v>323</v>
      </c>
      <c r="C36" s="47"/>
      <c r="D36" s="47"/>
      <c r="E36" s="40"/>
      <c r="F36" s="40">
        <v>297072</v>
      </c>
      <c r="G36" s="40">
        <v>177400</v>
      </c>
      <c r="H36" s="40">
        <v>554840</v>
      </c>
      <c r="I36" s="40"/>
      <c r="J36" s="40"/>
      <c r="K36" s="40"/>
      <c r="L36" s="40">
        <f t="shared" si="43"/>
        <v>674512</v>
      </c>
      <c r="M36" s="40">
        <v>10955</v>
      </c>
      <c r="N36" s="40">
        <v>40750</v>
      </c>
      <c r="O36" s="40"/>
      <c r="P36" s="40"/>
      <c r="Q36" s="40"/>
      <c r="R36" s="40">
        <f t="shared" si="31"/>
        <v>704307</v>
      </c>
      <c r="S36" s="40">
        <v>245927</v>
      </c>
      <c r="T36" s="40">
        <v>243965</v>
      </c>
      <c r="U36" s="40"/>
      <c r="V36" s="40"/>
      <c r="W36" s="40"/>
      <c r="X36" s="40">
        <f t="shared" si="32"/>
        <v>702345</v>
      </c>
      <c r="Y36" s="40">
        <v>100</v>
      </c>
      <c r="Z36" s="40">
        <v>257998</v>
      </c>
      <c r="AA36" s="40">
        <v>16200</v>
      </c>
      <c r="AB36" s="40">
        <v>16200</v>
      </c>
      <c r="AC36" s="40"/>
      <c r="AD36" s="40">
        <f t="shared" si="33"/>
        <v>960243</v>
      </c>
      <c r="AE36" s="40">
        <v>157245</v>
      </c>
      <c r="AF36" s="40">
        <v>336075</v>
      </c>
      <c r="AG36" s="40"/>
      <c r="AH36" s="40"/>
      <c r="AI36" s="40"/>
      <c r="AJ36" s="40">
        <f t="shared" si="34"/>
        <v>1139073</v>
      </c>
      <c r="AK36" s="40">
        <v>245000</v>
      </c>
      <c r="AL36" s="40">
        <v>190408</v>
      </c>
      <c r="AM36" s="40"/>
      <c r="AN36" s="40"/>
      <c r="AO36" s="40"/>
      <c r="AP36" s="40">
        <f t="shared" si="35"/>
        <v>1084481</v>
      </c>
      <c r="AQ36" s="40">
        <v>2885</v>
      </c>
      <c r="AR36" s="40">
        <v>212250</v>
      </c>
      <c r="AS36" s="40"/>
      <c r="AT36" s="40"/>
      <c r="AU36" s="40"/>
      <c r="AV36" s="40">
        <f t="shared" si="36"/>
        <v>1293846</v>
      </c>
      <c r="AW36" s="40">
        <v>178625</v>
      </c>
      <c r="AX36" s="40">
        <v>31900</v>
      </c>
      <c r="AY36" s="40"/>
      <c r="AZ36" s="40"/>
      <c r="BA36" s="40"/>
      <c r="BB36" s="40">
        <f t="shared" si="37"/>
        <v>1147121</v>
      </c>
      <c r="BC36" s="40"/>
      <c r="BD36" s="40"/>
      <c r="BE36" s="40"/>
      <c r="BF36" s="40"/>
      <c r="BG36" s="40"/>
      <c r="BH36" s="40">
        <f t="shared" si="38"/>
        <v>1147121</v>
      </c>
      <c r="BI36" s="40"/>
      <c r="BJ36" s="40"/>
      <c r="BK36" s="40"/>
      <c r="BL36" s="40"/>
      <c r="BM36" s="40"/>
      <c r="BN36" s="40">
        <f t="shared" si="39"/>
        <v>1147121</v>
      </c>
      <c r="BO36" s="40"/>
      <c r="BP36" s="40"/>
      <c r="BQ36" s="40"/>
      <c r="BR36" s="40"/>
      <c r="BS36" s="40"/>
      <c r="BT36" s="40">
        <f t="shared" si="40"/>
        <v>1147121</v>
      </c>
      <c r="BU36" s="40"/>
      <c r="BV36" s="40"/>
      <c r="BW36" s="40"/>
      <c r="BX36" s="40"/>
      <c r="BY36" s="40"/>
      <c r="BZ36" s="40">
        <f t="shared" si="41"/>
        <v>1147121</v>
      </c>
      <c r="CA36" s="40"/>
      <c r="CB36" s="40"/>
      <c r="CC36" s="40"/>
      <c r="CD36" s="40">
        <f t="shared" si="42"/>
        <v>1147121</v>
      </c>
    </row>
    <row r="37" spans="1:82" ht="15.75">
      <c r="A37" s="46"/>
      <c r="B37" s="47" t="s">
        <v>85</v>
      </c>
      <c r="C37" s="47"/>
      <c r="D37" s="47"/>
      <c r="E37" s="40"/>
      <c r="F37" s="40">
        <v>4650</v>
      </c>
      <c r="G37" s="40"/>
      <c r="H37" s="40">
        <v>1050</v>
      </c>
      <c r="I37" s="40"/>
      <c r="J37" s="40"/>
      <c r="K37" s="40"/>
      <c r="L37" s="40">
        <f t="shared" si="43"/>
        <v>5700</v>
      </c>
      <c r="M37" s="40"/>
      <c r="N37" s="40">
        <v>11200</v>
      </c>
      <c r="O37" s="40"/>
      <c r="P37" s="40"/>
      <c r="Q37" s="40"/>
      <c r="R37" s="40">
        <f t="shared" si="31"/>
        <v>16900</v>
      </c>
      <c r="S37" s="40"/>
      <c r="T37" s="40">
        <v>1400</v>
      </c>
      <c r="U37" s="40"/>
      <c r="V37" s="40"/>
      <c r="W37" s="40"/>
      <c r="X37" s="40">
        <f t="shared" si="32"/>
        <v>18300</v>
      </c>
      <c r="Y37" s="40"/>
      <c r="Z37" s="40">
        <v>0</v>
      </c>
      <c r="AA37" s="40"/>
      <c r="AB37" s="40"/>
      <c r="AC37" s="40"/>
      <c r="AD37" s="40">
        <f t="shared" si="33"/>
        <v>18300</v>
      </c>
      <c r="AE37" s="40"/>
      <c r="AF37" s="203"/>
      <c r="AG37" s="40"/>
      <c r="AH37" s="40"/>
      <c r="AI37" s="40"/>
      <c r="AJ37" s="40">
        <f t="shared" si="34"/>
        <v>18300</v>
      </c>
      <c r="AK37" s="40"/>
      <c r="AL37" s="40">
        <v>9800</v>
      </c>
      <c r="AM37" s="40"/>
      <c r="AN37" s="40"/>
      <c r="AO37" s="40"/>
      <c r="AP37" s="40">
        <f t="shared" si="35"/>
        <v>28100</v>
      </c>
      <c r="AQ37" s="40">
        <v>0</v>
      </c>
      <c r="AR37" s="40"/>
      <c r="AS37" s="40"/>
      <c r="AT37" s="40"/>
      <c r="AU37" s="40"/>
      <c r="AV37" s="40">
        <f t="shared" si="36"/>
        <v>28100</v>
      </c>
      <c r="AW37" s="40">
        <v>0</v>
      </c>
      <c r="AX37" s="40"/>
      <c r="AY37" s="40"/>
      <c r="AZ37" s="40"/>
      <c r="BA37" s="40"/>
      <c r="BB37" s="40">
        <f t="shared" si="37"/>
        <v>28100</v>
      </c>
      <c r="BC37" s="40"/>
      <c r="BD37" s="40"/>
      <c r="BE37" s="40"/>
      <c r="BF37" s="40"/>
      <c r="BG37" s="40"/>
      <c r="BH37" s="40">
        <f t="shared" si="38"/>
        <v>28100</v>
      </c>
      <c r="BI37" s="40"/>
      <c r="BJ37" s="40"/>
      <c r="BK37" s="40"/>
      <c r="BL37" s="40"/>
      <c r="BM37" s="40"/>
      <c r="BN37" s="40">
        <f t="shared" si="39"/>
        <v>28100</v>
      </c>
      <c r="BO37" s="40"/>
      <c r="BP37" s="40"/>
      <c r="BQ37" s="40"/>
      <c r="BR37" s="40"/>
      <c r="BS37" s="40"/>
      <c r="BT37" s="40">
        <f t="shared" si="40"/>
        <v>28100</v>
      </c>
      <c r="BU37" s="40"/>
      <c r="BV37" s="40"/>
      <c r="BW37" s="40"/>
      <c r="BX37" s="40"/>
      <c r="BY37" s="40"/>
      <c r="BZ37" s="40">
        <f t="shared" si="41"/>
        <v>28100</v>
      </c>
      <c r="CA37" s="40"/>
      <c r="CB37" s="40"/>
      <c r="CC37" s="40"/>
      <c r="CD37" s="40">
        <f t="shared" si="42"/>
        <v>28100</v>
      </c>
    </row>
    <row r="38" spans="1:83" ht="15.75">
      <c r="A38" s="46"/>
      <c r="B38" s="47" t="s">
        <v>86</v>
      </c>
      <c r="C38" s="47"/>
      <c r="D38" s="47"/>
      <c r="E38" s="40"/>
      <c r="F38" s="40">
        <v>18801.15</v>
      </c>
      <c r="G38" s="40"/>
      <c r="H38" s="40"/>
      <c r="I38" s="40"/>
      <c r="J38" s="40"/>
      <c r="K38" s="40"/>
      <c r="L38" s="40">
        <f t="shared" si="43"/>
        <v>18801.15</v>
      </c>
      <c r="M38" s="40"/>
      <c r="N38" s="40"/>
      <c r="O38" s="40"/>
      <c r="P38" s="40"/>
      <c r="Q38" s="40"/>
      <c r="R38" s="40">
        <f t="shared" si="31"/>
        <v>18801.15</v>
      </c>
      <c r="S38" s="40"/>
      <c r="T38" s="40"/>
      <c r="U38" s="40"/>
      <c r="V38" s="40"/>
      <c r="W38" s="40"/>
      <c r="X38" s="40">
        <f t="shared" si="32"/>
        <v>18801.15</v>
      </c>
      <c r="Y38" s="40"/>
      <c r="Z38" s="40">
        <v>4915</v>
      </c>
      <c r="AA38" s="40"/>
      <c r="AB38" s="40"/>
      <c r="AC38" s="40"/>
      <c r="AD38" s="40">
        <f t="shared" si="33"/>
        <v>23716.15</v>
      </c>
      <c r="AE38" s="40"/>
      <c r="AF38" s="203"/>
      <c r="AG38" s="40"/>
      <c r="AH38" s="40"/>
      <c r="AI38" s="40"/>
      <c r="AJ38" s="40">
        <f t="shared" si="34"/>
        <v>23716.15</v>
      </c>
      <c r="AK38" s="40"/>
      <c r="AL38" s="40">
        <v>50.91</v>
      </c>
      <c r="AM38" s="40"/>
      <c r="AN38" s="40"/>
      <c r="AO38" s="40"/>
      <c r="AP38" s="40">
        <f t="shared" si="35"/>
        <v>23767.06</v>
      </c>
      <c r="AQ38" s="40">
        <v>0</v>
      </c>
      <c r="AR38" s="40"/>
      <c r="AS38" s="40"/>
      <c r="AT38" s="40">
        <v>231294.61</v>
      </c>
      <c r="AU38" s="40"/>
      <c r="AV38" s="40">
        <f t="shared" si="36"/>
        <v>255061.66999999998</v>
      </c>
      <c r="AW38" s="40">
        <v>0</v>
      </c>
      <c r="AX38" s="40"/>
      <c r="AY38" s="40"/>
      <c r="AZ38" s="40"/>
      <c r="BA38" s="40"/>
      <c r="BB38" s="40">
        <f t="shared" si="37"/>
        <v>255061.66999999998</v>
      </c>
      <c r="BC38" s="40"/>
      <c r="BD38" s="40"/>
      <c r="BE38" s="40"/>
      <c r="BF38" s="40"/>
      <c r="BG38" s="40"/>
      <c r="BH38" s="40">
        <f t="shared" si="38"/>
        <v>255061.66999999998</v>
      </c>
      <c r="BI38" s="40"/>
      <c r="BJ38" s="40"/>
      <c r="BK38" s="40"/>
      <c r="BL38" s="40">
        <v>0</v>
      </c>
      <c r="BM38" s="40"/>
      <c r="BN38" s="40">
        <f t="shared" si="39"/>
        <v>255061.66999999998</v>
      </c>
      <c r="BO38" s="40"/>
      <c r="BP38" s="40"/>
      <c r="BQ38" s="40"/>
      <c r="BR38" s="40"/>
      <c r="BS38" s="40"/>
      <c r="BT38" s="40">
        <f t="shared" si="40"/>
        <v>255061.66999999998</v>
      </c>
      <c r="BU38" s="40"/>
      <c r="BV38" s="40"/>
      <c r="BW38" s="40"/>
      <c r="BX38" s="40"/>
      <c r="BY38" s="40"/>
      <c r="BZ38" s="40">
        <f t="shared" si="41"/>
        <v>255061.66999999998</v>
      </c>
      <c r="CA38" s="40"/>
      <c r="CB38" s="40"/>
      <c r="CC38" s="40"/>
      <c r="CD38" s="40">
        <f t="shared" si="42"/>
        <v>255061.66999999998</v>
      </c>
      <c r="CE38" s="6">
        <f>+BN38-BM15</f>
        <v>231294.61</v>
      </c>
    </row>
    <row r="39" spans="1:82" ht="15.75">
      <c r="A39" s="46"/>
      <c r="B39" s="47" t="s">
        <v>87</v>
      </c>
      <c r="C39" s="47"/>
      <c r="D39" s="47"/>
      <c r="E39" s="40"/>
      <c r="F39" s="40">
        <v>14279.47</v>
      </c>
      <c r="G39" s="40"/>
      <c r="H39" s="40"/>
      <c r="I39" s="40"/>
      <c r="J39" s="40"/>
      <c r="K39" s="40"/>
      <c r="L39" s="40">
        <f t="shared" si="43"/>
        <v>14279.47</v>
      </c>
      <c r="M39" s="40"/>
      <c r="N39" s="40"/>
      <c r="O39" s="40">
        <v>14279.47</v>
      </c>
      <c r="P39" s="40"/>
      <c r="Q39" s="40"/>
      <c r="R39" s="40">
        <f t="shared" si="31"/>
        <v>0</v>
      </c>
      <c r="S39" s="40"/>
      <c r="T39" s="40"/>
      <c r="U39" s="40"/>
      <c r="V39" s="40"/>
      <c r="W39" s="40"/>
      <c r="X39" s="40">
        <f t="shared" si="32"/>
        <v>0</v>
      </c>
      <c r="Y39" s="40"/>
      <c r="Z39" s="40">
        <v>0</v>
      </c>
      <c r="AA39" s="40"/>
      <c r="AB39" s="40"/>
      <c r="AC39" s="40"/>
      <c r="AD39" s="40">
        <f t="shared" si="33"/>
        <v>0</v>
      </c>
      <c r="AE39" s="40"/>
      <c r="AF39" s="203"/>
      <c r="AG39" s="40"/>
      <c r="AH39" s="40"/>
      <c r="AI39" s="40"/>
      <c r="AJ39" s="40">
        <f t="shared" si="34"/>
        <v>0</v>
      </c>
      <c r="AK39" s="40"/>
      <c r="AL39" s="40">
        <v>0</v>
      </c>
      <c r="AM39" s="40"/>
      <c r="AN39" s="40"/>
      <c r="AO39" s="40"/>
      <c r="AP39" s="40">
        <f t="shared" si="35"/>
        <v>0</v>
      </c>
      <c r="AQ39" s="40">
        <v>0</v>
      </c>
      <c r="AR39" s="40"/>
      <c r="AS39" s="40"/>
      <c r="AT39" s="40"/>
      <c r="AU39" s="40"/>
      <c r="AV39" s="40">
        <f t="shared" si="36"/>
        <v>0</v>
      </c>
      <c r="AW39" s="40">
        <v>0</v>
      </c>
      <c r="AX39" s="40"/>
      <c r="AY39" s="40"/>
      <c r="AZ39" s="40"/>
      <c r="BA39" s="40"/>
      <c r="BB39" s="40">
        <f t="shared" si="37"/>
        <v>0</v>
      </c>
      <c r="BC39" s="40"/>
      <c r="BD39" s="40"/>
      <c r="BE39" s="40"/>
      <c r="BF39" s="40"/>
      <c r="BG39" s="40"/>
      <c r="BH39" s="40">
        <f t="shared" si="38"/>
        <v>0</v>
      </c>
      <c r="BI39" s="40"/>
      <c r="BJ39" s="40"/>
      <c r="BK39" s="40"/>
      <c r="BL39" s="40"/>
      <c r="BM39" s="40"/>
      <c r="BN39" s="40">
        <f t="shared" si="39"/>
        <v>0</v>
      </c>
      <c r="BO39" s="40"/>
      <c r="BP39" s="40"/>
      <c r="BQ39" s="40"/>
      <c r="BR39" s="40"/>
      <c r="BS39" s="40"/>
      <c r="BT39" s="40">
        <f t="shared" si="40"/>
        <v>0</v>
      </c>
      <c r="BU39" s="40"/>
      <c r="BV39" s="40"/>
      <c r="BW39" s="40"/>
      <c r="BX39" s="40"/>
      <c r="BY39" s="40"/>
      <c r="BZ39" s="40">
        <f t="shared" si="41"/>
        <v>0</v>
      </c>
      <c r="CA39" s="40"/>
      <c r="CB39" s="40"/>
      <c r="CC39" s="40"/>
      <c r="CD39" s="40">
        <f t="shared" si="42"/>
        <v>0</v>
      </c>
    </row>
    <row r="40" spans="1:82" ht="15.75">
      <c r="A40" s="46"/>
      <c r="B40" s="47" t="s">
        <v>374</v>
      </c>
      <c r="C40" s="47"/>
      <c r="D40" s="47"/>
      <c r="E40" s="40"/>
      <c r="F40" s="40">
        <v>0</v>
      </c>
      <c r="G40" s="40"/>
      <c r="H40" s="40"/>
      <c r="I40" s="40"/>
      <c r="J40" s="40"/>
      <c r="K40" s="40"/>
      <c r="L40" s="40">
        <f t="shared" si="43"/>
        <v>0</v>
      </c>
      <c r="M40" s="40"/>
      <c r="N40" s="40"/>
      <c r="O40" s="40"/>
      <c r="P40" s="40"/>
      <c r="Q40" s="40"/>
      <c r="R40" s="40">
        <f t="shared" si="31"/>
        <v>0</v>
      </c>
      <c r="S40" s="40"/>
      <c r="T40" s="40"/>
      <c r="U40" s="40"/>
      <c r="V40" s="40"/>
      <c r="W40" s="40"/>
      <c r="X40" s="40">
        <f t="shared" si="32"/>
        <v>0</v>
      </c>
      <c r="Y40" s="40"/>
      <c r="Z40" s="40">
        <v>0</v>
      </c>
      <c r="AA40" s="40"/>
      <c r="AB40" s="40"/>
      <c r="AC40" s="40"/>
      <c r="AD40" s="40">
        <f t="shared" si="33"/>
        <v>0</v>
      </c>
      <c r="AE40" s="76">
        <v>27699.75</v>
      </c>
      <c r="AF40" s="40">
        <v>27699.75</v>
      </c>
      <c r="AG40" s="40"/>
      <c r="AH40" s="40"/>
      <c r="AI40" s="40"/>
      <c r="AJ40" s="40">
        <f t="shared" si="34"/>
        <v>0</v>
      </c>
      <c r="AK40" s="40"/>
      <c r="AL40" s="40">
        <v>0</v>
      </c>
      <c r="AM40" s="40"/>
      <c r="AN40" s="40"/>
      <c r="AO40" s="40"/>
      <c r="AP40" s="40">
        <f t="shared" si="35"/>
        <v>0</v>
      </c>
      <c r="AQ40" s="40">
        <v>0</v>
      </c>
      <c r="AR40" s="40"/>
      <c r="AS40" s="40"/>
      <c r="AT40" s="40"/>
      <c r="AU40" s="40"/>
      <c r="AV40" s="40">
        <f t="shared" si="36"/>
        <v>0</v>
      </c>
      <c r="AW40" s="40">
        <v>0</v>
      </c>
      <c r="AX40" s="40"/>
      <c r="AY40" s="40"/>
      <c r="AZ40" s="40"/>
      <c r="BA40" s="40"/>
      <c r="BB40" s="40">
        <f t="shared" si="37"/>
        <v>0</v>
      </c>
      <c r="BC40" s="40"/>
      <c r="BD40" s="40"/>
      <c r="BE40" s="40"/>
      <c r="BF40" s="40"/>
      <c r="BG40" s="40"/>
      <c r="BH40" s="40">
        <f t="shared" si="38"/>
        <v>0</v>
      </c>
      <c r="BI40" s="40"/>
      <c r="BJ40" s="40"/>
      <c r="BK40" s="40"/>
      <c r="BL40" s="40"/>
      <c r="BM40" s="40"/>
      <c r="BN40" s="40">
        <f t="shared" si="39"/>
        <v>0</v>
      </c>
      <c r="BO40" s="40"/>
      <c r="BP40" s="40"/>
      <c r="BQ40" s="40"/>
      <c r="BR40" s="40"/>
      <c r="BS40" s="40"/>
      <c r="BT40" s="40">
        <f t="shared" si="40"/>
        <v>0</v>
      </c>
      <c r="BU40" s="40"/>
      <c r="BV40" s="40"/>
      <c r="BW40" s="40"/>
      <c r="BX40" s="40"/>
      <c r="BY40" s="40"/>
      <c r="BZ40" s="40">
        <f t="shared" si="41"/>
        <v>0</v>
      </c>
      <c r="CA40" s="40"/>
      <c r="CB40" s="40"/>
      <c r="CC40" s="40"/>
      <c r="CD40" s="146">
        <f t="shared" si="42"/>
        <v>0</v>
      </c>
    </row>
    <row r="41" spans="1:82" ht="15.75">
      <c r="A41" s="46"/>
      <c r="B41" s="47" t="s">
        <v>346</v>
      </c>
      <c r="C41" s="47"/>
      <c r="D41" s="47"/>
      <c r="E41" s="40"/>
      <c r="F41" s="40">
        <v>0</v>
      </c>
      <c r="G41" s="40"/>
      <c r="H41" s="40"/>
      <c r="I41" s="40"/>
      <c r="J41" s="40"/>
      <c r="K41" s="40"/>
      <c r="L41" s="40">
        <f t="shared" si="43"/>
        <v>0</v>
      </c>
      <c r="M41" s="40"/>
      <c r="N41" s="40"/>
      <c r="O41" s="40"/>
      <c r="P41" s="40"/>
      <c r="Q41" s="40"/>
      <c r="R41" s="40">
        <f t="shared" si="31"/>
        <v>0</v>
      </c>
      <c r="S41" s="40"/>
      <c r="T41" s="40"/>
      <c r="U41" s="40"/>
      <c r="V41" s="40"/>
      <c r="W41" s="40"/>
      <c r="X41" s="40">
        <f t="shared" si="32"/>
        <v>0</v>
      </c>
      <c r="Y41" s="40"/>
      <c r="Z41" s="40">
        <v>0</v>
      </c>
      <c r="AA41" s="40"/>
      <c r="AB41" s="40"/>
      <c r="AC41" s="40"/>
      <c r="AD41" s="40">
        <f t="shared" si="33"/>
        <v>0</v>
      </c>
      <c r="AE41" s="40"/>
      <c r="AF41" s="40"/>
      <c r="AG41" s="40"/>
      <c r="AH41" s="40"/>
      <c r="AI41" s="40"/>
      <c r="AJ41" s="40">
        <f t="shared" si="34"/>
        <v>0</v>
      </c>
      <c r="AK41" s="40"/>
      <c r="AL41" s="40">
        <v>0</v>
      </c>
      <c r="AM41" s="40"/>
      <c r="AN41" s="40"/>
      <c r="AO41" s="40"/>
      <c r="AP41" s="40">
        <f t="shared" si="35"/>
        <v>0</v>
      </c>
      <c r="AQ41" s="40">
        <v>0</v>
      </c>
      <c r="AR41" s="40"/>
      <c r="AS41" s="40"/>
      <c r="AT41" s="40"/>
      <c r="AU41" s="40"/>
      <c r="AV41" s="40">
        <f t="shared" si="36"/>
        <v>0</v>
      </c>
      <c r="AW41" s="40">
        <v>0</v>
      </c>
      <c r="AX41" s="40"/>
      <c r="AY41" s="40"/>
      <c r="AZ41" s="40"/>
      <c r="BA41" s="40"/>
      <c r="BB41" s="40">
        <f t="shared" si="37"/>
        <v>0</v>
      </c>
      <c r="BC41" s="40"/>
      <c r="BD41" s="40"/>
      <c r="BE41" s="40"/>
      <c r="BF41" s="40"/>
      <c r="BG41" s="40"/>
      <c r="BH41" s="40">
        <f t="shared" si="38"/>
        <v>0</v>
      </c>
      <c r="BI41" s="40"/>
      <c r="BJ41" s="40"/>
      <c r="BK41" s="40"/>
      <c r="BL41" s="40"/>
      <c r="BM41" s="40"/>
      <c r="BN41" s="40">
        <f t="shared" si="39"/>
        <v>0</v>
      </c>
      <c r="BO41" s="40"/>
      <c r="BP41" s="40"/>
      <c r="BQ41" s="40"/>
      <c r="BR41" s="40"/>
      <c r="BS41" s="40"/>
      <c r="BT41" s="40">
        <f t="shared" si="40"/>
        <v>0</v>
      </c>
      <c r="BU41" s="40"/>
      <c r="BV41" s="40"/>
      <c r="BW41" s="40"/>
      <c r="BX41" s="40"/>
      <c r="BY41" s="40"/>
      <c r="BZ41" s="40">
        <f t="shared" si="41"/>
        <v>0</v>
      </c>
      <c r="CA41" s="40"/>
      <c r="CB41" s="40"/>
      <c r="CC41" s="40"/>
      <c r="CD41" s="146">
        <f t="shared" si="42"/>
        <v>0</v>
      </c>
    </row>
    <row r="42" spans="1:82" ht="15.75">
      <c r="A42" s="307"/>
      <c r="B42" s="308" t="s">
        <v>373</v>
      </c>
      <c r="C42" s="308"/>
      <c r="D42" s="308"/>
      <c r="E42" s="56"/>
      <c r="F42" s="56">
        <v>0</v>
      </c>
      <c r="G42" s="56"/>
      <c r="H42" s="56"/>
      <c r="I42" s="56"/>
      <c r="J42" s="56"/>
      <c r="K42" s="56"/>
      <c r="L42" s="40">
        <f t="shared" si="43"/>
        <v>0</v>
      </c>
      <c r="M42" s="56">
        <v>2099</v>
      </c>
      <c r="N42" s="56">
        <v>2099</v>
      </c>
      <c r="O42" s="56"/>
      <c r="P42" s="56"/>
      <c r="Q42" s="56"/>
      <c r="R42" s="40">
        <f t="shared" si="31"/>
        <v>0</v>
      </c>
      <c r="S42" s="56">
        <v>776</v>
      </c>
      <c r="T42" s="56">
        <v>7860</v>
      </c>
      <c r="U42" s="56"/>
      <c r="V42" s="56"/>
      <c r="W42" s="56"/>
      <c r="X42" s="40">
        <f t="shared" si="32"/>
        <v>7084</v>
      </c>
      <c r="Y42" s="56">
        <v>7084</v>
      </c>
      <c r="Z42" s="56">
        <v>627</v>
      </c>
      <c r="AA42" s="56"/>
      <c r="AB42" s="56"/>
      <c r="AC42" s="56"/>
      <c r="AD42" s="40">
        <f t="shared" si="33"/>
        <v>627</v>
      </c>
      <c r="AE42" s="56">
        <v>627</v>
      </c>
      <c r="AF42" s="56"/>
      <c r="AG42" s="56"/>
      <c r="AH42" s="56"/>
      <c r="AI42" s="56"/>
      <c r="AJ42" s="56">
        <f t="shared" si="34"/>
        <v>0</v>
      </c>
      <c r="AK42" s="56">
        <v>2312</v>
      </c>
      <c r="AL42" s="56">
        <v>2632</v>
      </c>
      <c r="AM42" s="56"/>
      <c r="AN42" s="56"/>
      <c r="AO42" s="56"/>
      <c r="AP42" s="56">
        <f t="shared" si="35"/>
        <v>320</v>
      </c>
      <c r="AQ42" s="56">
        <v>320</v>
      </c>
      <c r="AR42" s="56">
        <v>132.5</v>
      </c>
      <c r="AS42" s="56"/>
      <c r="AT42" s="56"/>
      <c r="AU42" s="56"/>
      <c r="AV42" s="56">
        <f t="shared" si="36"/>
        <v>132.5</v>
      </c>
      <c r="AW42" s="56">
        <v>7941.5</v>
      </c>
      <c r="AX42" s="56">
        <v>7809</v>
      </c>
      <c r="AY42" s="56"/>
      <c r="AZ42" s="56"/>
      <c r="BA42" s="56"/>
      <c r="BB42" s="56">
        <f t="shared" si="37"/>
        <v>0</v>
      </c>
      <c r="BC42" s="56"/>
      <c r="BD42" s="56"/>
      <c r="BE42" s="56"/>
      <c r="BF42" s="56"/>
      <c r="BG42" s="56"/>
      <c r="BH42" s="56">
        <f t="shared" si="38"/>
        <v>0</v>
      </c>
      <c r="BI42" s="56"/>
      <c r="BJ42" s="56"/>
      <c r="BK42" s="56"/>
      <c r="BL42" s="56"/>
      <c r="BM42" s="56"/>
      <c r="BN42" s="56">
        <f t="shared" si="39"/>
        <v>0</v>
      </c>
      <c r="BO42" s="56"/>
      <c r="BP42" s="56"/>
      <c r="BQ42" s="56"/>
      <c r="BR42" s="56"/>
      <c r="BS42" s="56"/>
      <c r="BT42" s="56">
        <f t="shared" si="40"/>
        <v>0</v>
      </c>
      <c r="BU42" s="56"/>
      <c r="BV42" s="56"/>
      <c r="BW42" s="56"/>
      <c r="BX42" s="56"/>
      <c r="BY42" s="56"/>
      <c r="BZ42" s="40">
        <f t="shared" si="41"/>
        <v>0</v>
      </c>
      <c r="CA42" s="56"/>
      <c r="CB42" s="56"/>
      <c r="CC42" s="56"/>
      <c r="CD42" s="146">
        <f>+BZ42+CA42-CB42</f>
        <v>0</v>
      </c>
    </row>
    <row r="43" spans="1:84" s="72" customFormat="1" ht="15.75">
      <c r="A43" s="307"/>
      <c r="B43" s="451" t="s">
        <v>25</v>
      </c>
      <c r="C43" s="451"/>
      <c r="D43" s="452"/>
      <c r="E43" s="56"/>
      <c r="F43" s="56">
        <v>4592</v>
      </c>
      <c r="G43" s="56"/>
      <c r="H43" s="56"/>
      <c r="I43" s="56"/>
      <c r="J43" s="56"/>
      <c r="K43" s="56"/>
      <c r="L43" s="40">
        <f t="shared" si="43"/>
        <v>4592</v>
      </c>
      <c r="M43" s="56"/>
      <c r="N43" s="56"/>
      <c r="O43" s="56"/>
      <c r="P43" s="56"/>
      <c r="Q43" s="56"/>
      <c r="R43" s="40">
        <f t="shared" si="31"/>
        <v>4592</v>
      </c>
      <c r="S43" s="56">
        <v>4592</v>
      </c>
      <c r="T43" s="56"/>
      <c r="U43" s="56"/>
      <c r="V43" s="56"/>
      <c r="W43" s="56"/>
      <c r="X43" s="40">
        <f t="shared" si="32"/>
        <v>0</v>
      </c>
      <c r="Y43" s="56"/>
      <c r="Z43" s="56">
        <v>0</v>
      </c>
      <c r="AA43" s="56"/>
      <c r="AB43" s="56"/>
      <c r="AC43" s="56"/>
      <c r="AD43" s="40">
        <f t="shared" si="33"/>
        <v>0</v>
      </c>
      <c r="AE43" s="56"/>
      <c r="AF43" s="56"/>
      <c r="AG43" s="56"/>
      <c r="AH43" s="56"/>
      <c r="AI43" s="56"/>
      <c r="AJ43" s="56">
        <f t="shared" si="34"/>
        <v>0</v>
      </c>
      <c r="AK43" s="56"/>
      <c r="AL43" s="56">
        <v>11880</v>
      </c>
      <c r="AM43" s="56"/>
      <c r="AN43" s="56"/>
      <c r="AO43" s="56"/>
      <c r="AP43" s="56">
        <f t="shared" si="35"/>
        <v>11880</v>
      </c>
      <c r="AQ43" s="56"/>
      <c r="AR43" s="56"/>
      <c r="AS43" s="56"/>
      <c r="AT43" s="56"/>
      <c r="AU43" s="56"/>
      <c r="AV43" s="56">
        <f t="shared" si="36"/>
        <v>11880</v>
      </c>
      <c r="AW43" s="56"/>
      <c r="AX43" s="56"/>
      <c r="AY43" s="56"/>
      <c r="AZ43" s="56"/>
      <c r="BA43" s="56"/>
      <c r="BB43" s="56">
        <f t="shared" si="37"/>
        <v>11880</v>
      </c>
      <c r="BC43" s="56"/>
      <c r="BD43" s="56"/>
      <c r="BE43" s="56"/>
      <c r="BF43" s="56"/>
      <c r="BG43" s="56"/>
      <c r="BH43" s="56">
        <f t="shared" si="38"/>
        <v>11880</v>
      </c>
      <c r="BI43" s="56"/>
      <c r="BJ43" s="56"/>
      <c r="BK43" s="56"/>
      <c r="BL43" s="56"/>
      <c r="BM43" s="56"/>
      <c r="BN43" s="56">
        <f t="shared" si="39"/>
        <v>11880</v>
      </c>
      <c r="BO43" s="56"/>
      <c r="BP43" s="56"/>
      <c r="BQ43" s="56"/>
      <c r="BR43" s="56"/>
      <c r="BS43" s="56"/>
      <c r="BT43" s="56">
        <f t="shared" si="40"/>
        <v>11880</v>
      </c>
      <c r="BU43" s="56"/>
      <c r="BV43" s="56"/>
      <c r="BW43" s="56"/>
      <c r="BX43" s="56"/>
      <c r="BY43" s="56"/>
      <c r="BZ43" s="56">
        <f t="shared" si="41"/>
        <v>11880</v>
      </c>
      <c r="CA43" s="56"/>
      <c r="CB43" s="56"/>
      <c r="CC43" s="56"/>
      <c r="CD43" s="17">
        <f>+BZ43+CA43-CB43</f>
        <v>11880</v>
      </c>
      <c r="CE43" s="144"/>
      <c r="CF43" s="144"/>
    </row>
    <row r="44" spans="1:84" s="39" customFormat="1" ht="15.75">
      <c r="A44" s="46"/>
      <c r="B44" s="318" t="s">
        <v>318</v>
      </c>
      <c r="C44" s="318"/>
      <c r="D44" s="318"/>
      <c r="E44" s="40"/>
      <c r="F44" s="40"/>
      <c r="G44" s="40"/>
      <c r="H44" s="40">
        <v>2100</v>
      </c>
      <c r="I44" s="40"/>
      <c r="J44" s="40"/>
      <c r="K44" s="40"/>
      <c r="L44" s="40">
        <f t="shared" si="43"/>
        <v>2100</v>
      </c>
      <c r="M44" s="40"/>
      <c r="N44" s="40"/>
      <c r="O44" s="40"/>
      <c r="P44" s="40"/>
      <c r="Q44" s="40"/>
      <c r="R44" s="40">
        <f t="shared" si="31"/>
        <v>2100</v>
      </c>
      <c r="S44" s="40">
        <v>2100</v>
      </c>
      <c r="T44" s="40">
        <v>10000</v>
      </c>
      <c r="U44" s="40"/>
      <c r="V44" s="40"/>
      <c r="W44" s="40"/>
      <c r="X44" s="40">
        <f t="shared" si="32"/>
        <v>10000</v>
      </c>
      <c r="Y44" s="40"/>
      <c r="Z44" s="40">
        <v>8600</v>
      </c>
      <c r="AA44" s="40"/>
      <c r="AB44" s="40"/>
      <c r="AC44" s="40"/>
      <c r="AD44" s="40">
        <f t="shared" si="33"/>
        <v>18600</v>
      </c>
      <c r="AE44" s="40">
        <v>18600</v>
      </c>
      <c r="AF44" s="40"/>
      <c r="AG44" s="40"/>
      <c r="AH44" s="40"/>
      <c r="AI44" s="40"/>
      <c r="AJ44" s="56">
        <f t="shared" si="34"/>
        <v>0</v>
      </c>
      <c r="AK44" s="40"/>
      <c r="AL44" s="40"/>
      <c r="AM44" s="40"/>
      <c r="AN44" s="40"/>
      <c r="AO44" s="40"/>
      <c r="AP44" s="56">
        <f t="shared" si="35"/>
        <v>0</v>
      </c>
      <c r="AQ44" s="40"/>
      <c r="AR44" s="40"/>
      <c r="AS44" s="40"/>
      <c r="AT44" s="40"/>
      <c r="AU44" s="40"/>
      <c r="AV44" s="56">
        <f t="shared" si="36"/>
        <v>0</v>
      </c>
      <c r="AW44" s="40"/>
      <c r="AX44" s="40"/>
      <c r="AY44" s="40"/>
      <c r="AZ44" s="40"/>
      <c r="BA44" s="40"/>
      <c r="BB44" s="56">
        <f t="shared" si="37"/>
        <v>0</v>
      </c>
      <c r="BC44" s="40"/>
      <c r="BD44" s="40"/>
      <c r="BE44" s="40"/>
      <c r="BF44" s="40"/>
      <c r="BG44" s="40"/>
      <c r="BH44" s="56">
        <f t="shared" si="38"/>
        <v>0</v>
      </c>
      <c r="BI44" s="40"/>
      <c r="BJ44" s="40"/>
      <c r="BK44" s="40"/>
      <c r="BL44" s="40"/>
      <c r="BM44" s="40"/>
      <c r="BN44" s="56">
        <f t="shared" si="39"/>
        <v>0</v>
      </c>
      <c r="BO44" s="40"/>
      <c r="BP44" s="40"/>
      <c r="BQ44" s="40"/>
      <c r="BR44" s="40"/>
      <c r="BS44" s="40"/>
      <c r="BT44" s="56">
        <f t="shared" si="40"/>
        <v>0</v>
      </c>
      <c r="BU44" s="40"/>
      <c r="BV44" s="40"/>
      <c r="BW44" s="40"/>
      <c r="BX44" s="40"/>
      <c r="BY44" s="40"/>
      <c r="BZ44" s="56">
        <f t="shared" si="41"/>
        <v>0</v>
      </c>
      <c r="CA44" s="40"/>
      <c r="CB44" s="40"/>
      <c r="CC44" s="40"/>
      <c r="CD44" s="17">
        <f>+BZ44+CA44-CB44</f>
        <v>0</v>
      </c>
      <c r="CE44" s="314"/>
      <c r="CF44" s="314"/>
    </row>
    <row r="45" spans="1:84" s="19" customFormat="1" ht="15.75">
      <c r="A45" s="315"/>
      <c r="B45" s="316" t="s">
        <v>124</v>
      </c>
      <c r="C45" s="316"/>
      <c r="D45" s="316"/>
      <c r="E45" s="34"/>
      <c r="F45" s="34"/>
      <c r="G45" s="34"/>
      <c r="H45" s="34">
        <v>1500</v>
      </c>
      <c r="I45" s="34"/>
      <c r="J45" s="34"/>
      <c r="K45" s="34"/>
      <c r="L45" s="17">
        <f>+F45+H45-G45+J45-I45</f>
        <v>1500</v>
      </c>
      <c r="M45" s="34"/>
      <c r="N45" s="34"/>
      <c r="O45" s="34"/>
      <c r="P45" s="34"/>
      <c r="Q45" s="34"/>
      <c r="R45" s="40">
        <f t="shared" si="31"/>
        <v>1500</v>
      </c>
      <c r="S45" s="34">
        <v>1500</v>
      </c>
      <c r="T45" s="34"/>
      <c r="U45" s="34"/>
      <c r="V45" s="34"/>
      <c r="W45" s="34"/>
      <c r="X45" s="40">
        <f t="shared" si="32"/>
        <v>0</v>
      </c>
      <c r="Y45" s="34"/>
      <c r="Z45" s="34">
        <v>0</v>
      </c>
      <c r="AA45" s="34"/>
      <c r="AB45" s="34"/>
      <c r="AC45" s="34"/>
      <c r="AD45" s="40">
        <f t="shared" si="33"/>
        <v>0</v>
      </c>
      <c r="AE45" s="34"/>
      <c r="AF45" s="34"/>
      <c r="AG45" s="34"/>
      <c r="AH45" s="34"/>
      <c r="AI45" s="34"/>
      <c r="AJ45" s="56">
        <f t="shared" si="34"/>
        <v>0</v>
      </c>
      <c r="AK45" s="34"/>
      <c r="AL45" s="34"/>
      <c r="AM45" s="34"/>
      <c r="AN45" s="34"/>
      <c r="AO45" s="34"/>
      <c r="AP45" s="56">
        <f t="shared" si="35"/>
        <v>0</v>
      </c>
      <c r="AQ45" s="34"/>
      <c r="AR45" s="34"/>
      <c r="AS45" s="34"/>
      <c r="AT45" s="34"/>
      <c r="AU45" s="34"/>
      <c r="AV45" s="56">
        <f t="shared" si="36"/>
        <v>0</v>
      </c>
      <c r="AW45" s="34"/>
      <c r="AX45" s="34"/>
      <c r="AY45" s="34"/>
      <c r="AZ45" s="34"/>
      <c r="BA45" s="34"/>
      <c r="BB45" s="56">
        <f t="shared" si="37"/>
        <v>0</v>
      </c>
      <c r="BC45" s="34"/>
      <c r="BD45" s="34"/>
      <c r="BE45" s="34"/>
      <c r="BF45" s="34"/>
      <c r="BG45" s="34"/>
      <c r="BH45" s="56">
        <f t="shared" si="38"/>
        <v>0</v>
      </c>
      <c r="BI45" s="34"/>
      <c r="BJ45" s="34"/>
      <c r="BK45" s="34"/>
      <c r="BL45" s="34"/>
      <c r="BM45" s="34"/>
      <c r="BN45" s="56">
        <f t="shared" si="39"/>
        <v>0</v>
      </c>
      <c r="BO45" s="34"/>
      <c r="BP45" s="34"/>
      <c r="BQ45" s="34"/>
      <c r="BR45" s="34"/>
      <c r="BS45" s="34"/>
      <c r="BT45" s="56">
        <f t="shared" si="40"/>
        <v>0</v>
      </c>
      <c r="BU45" s="34"/>
      <c r="BV45" s="34"/>
      <c r="BW45" s="34"/>
      <c r="BX45" s="34"/>
      <c r="BY45" s="34"/>
      <c r="BZ45" s="56">
        <f t="shared" si="41"/>
        <v>0</v>
      </c>
      <c r="CA45" s="34"/>
      <c r="CB45" s="34"/>
      <c r="CC45" s="34"/>
      <c r="CD45" s="17">
        <f>+BZ45+CA45-CB45</f>
        <v>0</v>
      </c>
      <c r="CE45" s="317"/>
      <c r="CF45" s="317"/>
    </row>
    <row r="46" spans="1:84" s="27" customFormat="1" ht="15.75">
      <c r="A46" s="99" t="s">
        <v>90</v>
      </c>
      <c r="B46" s="100"/>
      <c r="C46" s="100"/>
      <c r="D46" s="100"/>
      <c r="E46" s="101"/>
      <c r="F46" s="305">
        <v>8671528.73</v>
      </c>
      <c r="G46" s="101">
        <v>10000</v>
      </c>
      <c r="H46" s="101"/>
      <c r="I46" s="101"/>
      <c r="J46" s="101"/>
      <c r="K46" s="101"/>
      <c r="L46" s="12">
        <f>+F46+H46-G46+J46-I46</f>
        <v>8661528.73</v>
      </c>
      <c r="M46" s="101"/>
      <c r="N46" s="101"/>
      <c r="O46" s="101">
        <v>5000</v>
      </c>
      <c r="P46" s="101">
        <f>14279.47+20</f>
        <v>14299.47</v>
      </c>
      <c r="Q46" s="101"/>
      <c r="R46" s="101">
        <f>SUM(L46-M46+N46-O46+P46)</f>
        <v>8670828.200000001</v>
      </c>
      <c r="S46" s="101">
        <v>328847.83</v>
      </c>
      <c r="T46" s="101"/>
      <c r="U46" s="101"/>
      <c r="V46" s="101"/>
      <c r="W46" s="101"/>
      <c r="X46" s="101">
        <f>SUM(R46-S46+T46-U46+V46)</f>
        <v>8341980.370000001</v>
      </c>
      <c r="Y46" s="101">
        <v>182500</v>
      </c>
      <c r="Z46" s="101"/>
      <c r="AA46" s="101">
        <v>6000</v>
      </c>
      <c r="AB46" s="101"/>
      <c r="AC46" s="101"/>
      <c r="AD46" s="101">
        <f>SUM(X46-Y46+Z46-AA46+AB46)</f>
        <v>8153480.370000001</v>
      </c>
      <c r="AE46" s="101"/>
      <c r="AF46" s="101"/>
      <c r="AG46" s="101"/>
      <c r="AH46" s="101"/>
      <c r="AI46" s="101"/>
      <c r="AJ46" s="101">
        <f>SUM(AD46-AE46+AF46-AG46+AH46)</f>
        <v>8153480.370000001</v>
      </c>
      <c r="AK46" s="101"/>
      <c r="AL46" s="101"/>
      <c r="AM46" s="101"/>
      <c r="AN46" s="101"/>
      <c r="AO46" s="101"/>
      <c r="AP46" s="101">
        <f>SUM(AJ46-AK46+AL46-AM46+AN46)</f>
        <v>8153480.370000001</v>
      </c>
      <c r="AQ46" s="101"/>
      <c r="AR46" s="101"/>
      <c r="AS46" s="101"/>
      <c r="AT46" s="101">
        <f>1000+172347.83</f>
        <v>173347.83</v>
      </c>
      <c r="AU46" s="101"/>
      <c r="AV46" s="101">
        <f>SUM(AP46-AQ46+AR46-AS46+AT46)</f>
        <v>8326828.200000001</v>
      </c>
      <c r="AW46" s="101"/>
      <c r="AX46" s="101"/>
      <c r="AY46" s="101">
        <v>6200</v>
      </c>
      <c r="AZ46" s="101"/>
      <c r="BA46" s="101"/>
      <c r="BB46" s="101">
        <f>SUM(AV46-AW46+AX46-AY46+AZ46)</f>
        <v>8320628.200000001</v>
      </c>
      <c r="BC46" s="101"/>
      <c r="BD46" s="101"/>
      <c r="BE46" s="101"/>
      <c r="BF46" s="101"/>
      <c r="BG46" s="101"/>
      <c r="BH46" s="101">
        <f>SUM(BB46-BC46+BD46-BE46+BF46)</f>
        <v>8320628.200000001</v>
      </c>
      <c r="BI46" s="101"/>
      <c r="BJ46" s="101"/>
      <c r="BK46" s="101"/>
      <c r="BL46" s="101"/>
      <c r="BM46" s="101"/>
      <c r="BN46" s="101">
        <f>SUM(BH46-BI46+BJ46-BK46+BL46)</f>
        <v>8320628.200000001</v>
      </c>
      <c r="BO46" s="101"/>
      <c r="BP46" s="101"/>
      <c r="BQ46" s="101"/>
      <c r="BR46" s="101"/>
      <c r="BS46" s="101"/>
      <c r="BT46" s="101">
        <f>SUM(BN46-BO46+BP46-BQ46+BR46)</f>
        <v>8320628.200000001</v>
      </c>
      <c r="BU46" s="101"/>
      <c r="BV46" s="101"/>
      <c r="BW46" s="101"/>
      <c r="BX46" s="101"/>
      <c r="BY46" s="101"/>
      <c r="BZ46" s="101">
        <f>SUM(BT46-BU46+BV46-BW46+BX46)</f>
        <v>8320628.200000001</v>
      </c>
      <c r="CA46" s="101"/>
      <c r="CB46" s="101"/>
      <c r="CC46" s="101"/>
      <c r="CD46" s="101">
        <f>+BZ46+CB46-CA46-CC46</f>
        <v>8320628.200000001</v>
      </c>
      <c r="CE46" s="104">
        <f>+'[1]เงินสะสม (5)'!$D$21</f>
        <v>11351917.227500003</v>
      </c>
      <c r="CF46" s="104"/>
    </row>
    <row r="47" spans="1:82" ht="15.75">
      <c r="A47" s="13" t="s">
        <v>320</v>
      </c>
      <c r="B47" s="28"/>
      <c r="C47" s="28"/>
      <c r="D47" s="28"/>
      <c r="E47" s="12"/>
      <c r="F47" s="305">
        <v>12774609.2</v>
      </c>
      <c r="G47" s="12"/>
      <c r="H47" s="12"/>
      <c r="I47" s="12"/>
      <c r="J47" s="12"/>
      <c r="K47" s="12"/>
      <c r="L47" s="12">
        <f>+F47+H47-G47+J47-I47</f>
        <v>12774609.2</v>
      </c>
      <c r="M47" s="12"/>
      <c r="N47" s="12"/>
      <c r="O47" s="12"/>
      <c r="P47" s="12"/>
      <c r="Q47" s="12"/>
      <c r="R47" s="12">
        <f t="shared" si="31"/>
        <v>12774609.2</v>
      </c>
      <c r="S47" s="12"/>
      <c r="T47" s="12"/>
      <c r="U47" s="12"/>
      <c r="V47" s="12"/>
      <c r="W47" s="12"/>
      <c r="X47" s="12">
        <f t="shared" si="32"/>
        <v>12774609.2</v>
      </c>
      <c r="Y47" s="12"/>
      <c r="Z47" s="12"/>
      <c r="AA47" s="12"/>
      <c r="AB47" s="12"/>
      <c r="AC47" s="12"/>
      <c r="AD47" s="12">
        <f t="shared" si="33"/>
        <v>12774609.2</v>
      </c>
      <c r="AE47" s="12"/>
      <c r="AF47" s="12"/>
      <c r="AG47" s="12"/>
      <c r="AH47" s="12"/>
      <c r="AI47" s="12"/>
      <c r="AJ47" s="12">
        <f t="shared" si="34"/>
        <v>12774609.2</v>
      </c>
      <c r="AK47" s="12"/>
      <c r="AL47" s="12"/>
      <c r="AM47" s="12"/>
      <c r="AN47" s="12"/>
      <c r="AO47" s="12"/>
      <c r="AP47" s="12">
        <f t="shared" si="35"/>
        <v>12774609.2</v>
      </c>
      <c r="AQ47" s="12"/>
      <c r="AR47" s="12"/>
      <c r="AS47" s="12"/>
      <c r="AT47" s="12"/>
      <c r="AU47" s="12"/>
      <c r="AV47" s="12">
        <f t="shared" si="36"/>
        <v>12774609.2</v>
      </c>
      <c r="AW47" s="12"/>
      <c r="AX47" s="12"/>
      <c r="AY47" s="12"/>
      <c r="AZ47" s="12"/>
      <c r="BA47" s="12"/>
      <c r="BB47" s="101">
        <f>SUM(AV47-AW47+AX47-AY47+AZ47)</f>
        <v>12774609.2</v>
      </c>
      <c r="BC47" s="12"/>
      <c r="BD47" s="12"/>
      <c r="BE47" s="12"/>
      <c r="BF47" s="12"/>
      <c r="BG47" s="12"/>
      <c r="BH47" s="12">
        <f>SUM(BB47-BC47+BD47-BE47+BF47)</f>
        <v>12774609.2</v>
      </c>
      <c r="BI47" s="12"/>
      <c r="BJ47" s="12"/>
      <c r="BK47" s="12"/>
      <c r="BL47" s="12"/>
      <c r="BM47" s="12"/>
      <c r="BN47" s="12">
        <f>SUM(BH47-BI47+BJ47-BK47+BL47)</f>
        <v>12774609.2</v>
      </c>
      <c r="BO47" s="12"/>
      <c r="BP47" s="12"/>
      <c r="BQ47" s="12"/>
      <c r="BR47" s="12"/>
      <c r="BS47" s="12"/>
      <c r="BT47" s="12">
        <f t="shared" si="40"/>
        <v>12774609.2</v>
      </c>
      <c r="BU47" s="12"/>
      <c r="BV47" s="12"/>
      <c r="BW47" s="12"/>
      <c r="BX47" s="12"/>
      <c r="BY47" s="12"/>
      <c r="BZ47" s="12">
        <f>SUM(BT47-BU47+BV47-BW47+BX47)</f>
        <v>12774609.2</v>
      </c>
      <c r="CA47" s="12"/>
      <c r="CB47" s="12"/>
      <c r="CC47" s="12"/>
      <c r="CD47" s="12">
        <f>+BZ47+CB47-CA47-CC47</f>
        <v>12774609.2</v>
      </c>
    </row>
    <row r="48" spans="1:82" ht="15.75">
      <c r="A48" s="13"/>
      <c r="B48" s="28"/>
      <c r="C48" s="28"/>
      <c r="D48" s="28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200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</row>
    <row r="49" spans="1:82" ht="15.75">
      <c r="A49" s="13"/>
      <c r="B49" s="28"/>
      <c r="C49" s="28"/>
      <c r="D49" s="28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200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</row>
    <row r="50" spans="1:84" s="135" customFormat="1" ht="15.75">
      <c r="A50" s="443" t="s">
        <v>91</v>
      </c>
      <c r="B50" s="444"/>
      <c r="C50" s="444"/>
      <c r="D50" s="444"/>
      <c r="E50" s="129">
        <f>SUM(E27:E32,E33,E46:E49)</f>
        <v>0</v>
      </c>
      <c r="F50" s="129">
        <f>SUM(F27:F32,F33,F46:F49)</f>
        <v>25724918.36</v>
      </c>
      <c r="G50" s="129">
        <f aca="true" t="shared" si="44" ref="G50:BR50">SUM(G27:G32,G33,G46:G49)</f>
        <v>504989.04000000004</v>
      </c>
      <c r="H50" s="129">
        <f t="shared" si="44"/>
        <v>562487.3</v>
      </c>
      <c r="I50" s="129">
        <f t="shared" si="44"/>
        <v>0</v>
      </c>
      <c r="J50" s="129">
        <f t="shared" si="44"/>
        <v>0</v>
      </c>
      <c r="K50" s="129">
        <f t="shared" si="44"/>
        <v>0</v>
      </c>
      <c r="L50" s="129">
        <f>SUM(L27:L32,L33,L46:L49)</f>
        <v>25782416.619999997</v>
      </c>
      <c r="M50" s="129">
        <f t="shared" si="44"/>
        <v>66951.3</v>
      </c>
      <c r="N50" s="129">
        <f t="shared" si="44"/>
        <v>55131.81</v>
      </c>
      <c r="O50" s="129">
        <f>SUM(O27:O32,O33,O46:O49)</f>
        <v>19279.47</v>
      </c>
      <c r="P50" s="129">
        <f>SUM(P27:P32,P33,P46:P49)</f>
        <v>14299.47</v>
      </c>
      <c r="Q50" s="129">
        <f t="shared" si="44"/>
        <v>0</v>
      </c>
      <c r="R50" s="129">
        <f>SUM(R27:R32,R33,R46:R49)</f>
        <v>25765617.130000003</v>
      </c>
      <c r="S50" s="129">
        <f t="shared" si="44"/>
        <v>970669.6400000001</v>
      </c>
      <c r="T50" s="129">
        <f t="shared" si="44"/>
        <v>269911.14</v>
      </c>
      <c r="U50" s="129">
        <f t="shared" si="44"/>
        <v>0</v>
      </c>
      <c r="V50" s="129">
        <f t="shared" si="44"/>
        <v>0</v>
      </c>
      <c r="W50" s="129">
        <f t="shared" si="44"/>
        <v>0</v>
      </c>
      <c r="X50" s="129">
        <f t="shared" si="44"/>
        <v>25064858.630000003</v>
      </c>
      <c r="Y50" s="129">
        <f t="shared" si="44"/>
        <v>520370.14</v>
      </c>
      <c r="Z50" s="129">
        <f t="shared" si="44"/>
        <v>283047.48</v>
      </c>
      <c r="AA50" s="129">
        <f t="shared" si="44"/>
        <v>22200</v>
      </c>
      <c r="AB50" s="129">
        <f t="shared" si="44"/>
        <v>16200</v>
      </c>
      <c r="AC50" s="129">
        <f t="shared" si="44"/>
        <v>0</v>
      </c>
      <c r="AD50" s="129">
        <f t="shared" si="44"/>
        <v>24821535.97</v>
      </c>
      <c r="AE50" s="129">
        <f t="shared" si="44"/>
        <v>215060.85</v>
      </c>
      <c r="AF50" s="129">
        <f>SUM(AF27:AF32,AF33,AF46:AF49)</f>
        <v>365253.19</v>
      </c>
      <c r="AG50" s="129">
        <f t="shared" si="44"/>
        <v>0</v>
      </c>
      <c r="AH50" s="129">
        <f t="shared" si="44"/>
        <v>0</v>
      </c>
      <c r="AI50" s="129">
        <f t="shared" si="44"/>
        <v>0</v>
      </c>
      <c r="AJ50" s="129">
        <f>SUM(AJ27:AJ32,AJ33,AJ46:AJ49)</f>
        <v>24971728.310000002</v>
      </c>
      <c r="AK50" s="129">
        <f t="shared" si="44"/>
        <v>735006.01</v>
      </c>
      <c r="AL50" s="129">
        <f t="shared" si="44"/>
        <v>271335.11</v>
      </c>
      <c r="AM50" s="133">
        <f t="shared" si="44"/>
        <v>0</v>
      </c>
      <c r="AN50" s="133">
        <f t="shared" si="44"/>
        <v>0</v>
      </c>
      <c r="AO50" s="129">
        <f t="shared" si="44"/>
        <v>0</v>
      </c>
      <c r="AP50" s="129">
        <f t="shared" si="44"/>
        <v>24508057.41</v>
      </c>
      <c r="AQ50" s="129">
        <f>SUM(AQ27:AQ32,AQ33,AQ46:AQ49)</f>
        <v>2240016.03</v>
      </c>
      <c r="AR50" s="129">
        <f>SUM(AR27:AR32,AR33,AR46:AR49)</f>
        <v>5722933.18</v>
      </c>
      <c r="AS50" s="129">
        <f t="shared" si="44"/>
        <v>0</v>
      </c>
      <c r="AT50" s="129">
        <f t="shared" si="44"/>
        <v>404642.43999999994</v>
      </c>
      <c r="AU50" s="129">
        <f t="shared" si="44"/>
        <v>0</v>
      </c>
      <c r="AV50" s="129">
        <f t="shared" si="44"/>
        <v>28395617</v>
      </c>
      <c r="AW50" s="129">
        <f t="shared" si="44"/>
        <v>260993.55</v>
      </c>
      <c r="AX50" s="129">
        <f>SUM(AX27:AX32,AX33,AX46:AX49)</f>
        <v>6291765.5</v>
      </c>
      <c r="AY50" s="129">
        <f>SUM(AY27:AY32,AY33,AY46:AY49)</f>
        <v>6200</v>
      </c>
      <c r="AZ50" s="129">
        <f t="shared" si="44"/>
        <v>0</v>
      </c>
      <c r="BA50" s="129">
        <f t="shared" si="44"/>
        <v>0</v>
      </c>
      <c r="BB50" s="129">
        <f>SUM(BB27:BB32,BB33,BB46:BB49)</f>
        <v>34420188.95</v>
      </c>
      <c r="BC50" s="129">
        <f t="shared" si="44"/>
        <v>0</v>
      </c>
      <c r="BD50" s="129">
        <f t="shared" si="44"/>
        <v>0</v>
      </c>
      <c r="BE50" s="129">
        <f t="shared" si="44"/>
        <v>0</v>
      </c>
      <c r="BF50" s="129">
        <f t="shared" si="44"/>
        <v>0</v>
      </c>
      <c r="BG50" s="129">
        <f t="shared" si="44"/>
        <v>0</v>
      </c>
      <c r="BH50" s="129">
        <f>SUM(BH27:BH32,BH33,BH46:BH49)</f>
        <v>34420188.95</v>
      </c>
      <c r="BI50" s="129">
        <f t="shared" si="44"/>
        <v>0</v>
      </c>
      <c r="BJ50" s="129">
        <f t="shared" si="44"/>
        <v>0</v>
      </c>
      <c r="BK50" s="129">
        <f t="shared" si="44"/>
        <v>0</v>
      </c>
      <c r="BL50" s="129">
        <f t="shared" si="44"/>
        <v>0</v>
      </c>
      <c r="BM50" s="129">
        <f t="shared" si="44"/>
        <v>0</v>
      </c>
      <c r="BN50" s="129">
        <f>SUM(BN27:BN32,BN33,BN46:BN49)</f>
        <v>34420188.95</v>
      </c>
      <c r="BO50" s="129">
        <f t="shared" si="44"/>
        <v>0</v>
      </c>
      <c r="BP50" s="129">
        <f t="shared" si="44"/>
        <v>0</v>
      </c>
      <c r="BQ50" s="129">
        <f t="shared" si="44"/>
        <v>0</v>
      </c>
      <c r="BR50" s="129">
        <f t="shared" si="44"/>
        <v>0</v>
      </c>
      <c r="BS50" s="129">
        <f aca="true" t="shared" si="45" ref="BS50:BZ50">SUM(BS27:BS32,BS33,BS46:BS49)</f>
        <v>0</v>
      </c>
      <c r="BT50" s="129">
        <f>SUM(BT27:BT32,BT33,BT46:BT49)</f>
        <v>34420188.95</v>
      </c>
      <c r="BU50" s="129">
        <f t="shared" si="45"/>
        <v>0</v>
      </c>
      <c r="BV50" s="129">
        <f t="shared" si="45"/>
        <v>0</v>
      </c>
      <c r="BW50" s="129">
        <f t="shared" si="45"/>
        <v>0</v>
      </c>
      <c r="BX50" s="129">
        <f t="shared" si="45"/>
        <v>0</v>
      </c>
      <c r="BY50" s="129">
        <f t="shared" si="45"/>
        <v>0</v>
      </c>
      <c r="BZ50" s="129">
        <f t="shared" si="45"/>
        <v>34420188.95</v>
      </c>
      <c r="CA50" s="133">
        <f>SUM(CA27:CA32,CA33,CA46:CA49)</f>
        <v>0</v>
      </c>
      <c r="CB50" s="133">
        <f>SUM(CB27:CB32,CB33,CB46:CB49)</f>
        <v>0</v>
      </c>
      <c r="CC50" s="129">
        <f>SUM(CC27:CC32,CC33,CC46:CC49)</f>
        <v>0</v>
      </c>
      <c r="CD50" s="129">
        <f>SUM(CD27:CD32,CD33,CD46:CD49)</f>
        <v>34420188.95</v>
      </c>
      <c r="CE50" s="134"/>
      <c r="CF50" s="134"/>
    </row>
    <row r="51" spans="1:82" ht="15.75">
      <c r="A51" s="441" t="s">
        <v>18</v>
      </c>
      <c r="B51" s="442"/>
      <c r="C51" s="442"/>
      <c r="D51" s="44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200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</row>
    <row r="52" spans="1:84" s="158" customFormat="1" ht="15.75">
      <c r="A52" s="153" t="s">
        <v>92</v>
      </c>
      <c r="B52" s="154"/>
      <c r="C52" s="154"/>
      <c r="D52" s="154"/>
      <c r="E52" s="155">
        <f>SUM(E53,E57,E71,E75,E77,E81)</f>
        <v>0</v>
      </c>
      <c r="F52" s="155">
        <f aca="true" t="shared" si="46" ref="F52:BQ52">SUM(F53,F57,F71,F75,F77,F81)</f>
        <v>0</v>
      </c>
      <c r="G52" s="155">
        <f t="shared" si="46"/>
        <v>0</v>
      </c>
      <c r="H52" s="155">
        <f t="shared" si="46"/>
        <v>182790</v>
      </c>
      <c r="I52" s="155">
        <f t="shared" si="46"/>
        <v>0</v>
      </c>
      <c r="J52" s="155">
        <f t="shared" si="46"/>
        <v>0</v>
      </c>
      <c r="K52" s="155">
        <f t="shared" si="46"/>
        <v>0</v>
      </c>
      <c r="L52" s="155">
        <f t="shared" si="46"/>
        <v>182790</v>
      </c>
      <c r="M52" s="155">
        <f t="shared" si="46"/>
        <v>0</v>
      </c>
      <c r="N52" s="155">
        <f t="shared" si="46"/>
        <v>81230</v>
      </c>
      <c r="O52" s="155">
        <f t="shared" si="46"/>
        <v>0</v>
      </c>
      <c r="P52" s="155">
        <f t="shared" si="46"/>
        <v>0</v>
      </c>
      <c r="Q52" s="155">
        <f t="shared" si="46"/>
        <v>0</v>
      </c>
      <c r="R52" s="155">
        <f t="shared" si="46"/>
        <v>264020</v>
      </c>
      <c r="S52" s="155">
        <f t="shared" si="46"/>
        <v>0</v>
      </c>
      <c r="T52" s="155">
        <f t="shared" si="46"/>
        <v>233294.91</v>
      </c>
      <c r="U52" s="155">
        <f t="shared" si="46"/>
        <v>0</v>
      </c>
      <c r="V52" s="155">
        <f t="shared" si="46"/>
        <v>0</v>
      </c>
      <c r="W52" s="155">
        <f t="shared" si="46"/>
        <v>0</v>
      </c>
      <c r="X52" s="155">
        <f t="shared" si="46"/>
        <v>497314.91000000003</v>
      </c>
      <c r="Y52" s="155">
        <f t="shared" si="46"/>
        <v>0</v>
      </c>
      <c r="Z52" s="155">
        <f t="shared" si="46"/>
        <v>83571.36</v>
      </c>
      <c r="AA52" s="155">
        <f t="shared" si="46"/>
        <v>0</v>
      </c>
      <c r="AB52" s="155">
        <f t="shared" si="46"/>
        <v>0</v>
      </c>
      <c r="AC52" s="155">
        <f t="shared" si="46"/>
        <v>0</v>
      </c>
      <c r="AD52" s="155">
        <f t="shared" si="46"/>
        <v>580886.27</v>
      </c>
      <c r="AE52" s="155">
        <f t="shared" si="46"/>
        <v>0</v>
      </c>
      <c r="AF52" s="155">
        <f>SUM(AF53,AF57,AF71,AF75,AF77,AF81)</f>
        <v>169807.78999999998</v>
      </c>
      <c r="AG52" s="155">
        <f t="shared" si="46"/>
        <v>0</v>
      </c>
      <c r="AH52" s="155">
        <f t="shared" si="46"/>
        <v>0</v>
      </c>
      <c r="AI52" s="155">
        <f t="shared" si="46"/>
        <v>0</v>
      </c>
      <c r="AJ52" s="155">
        <f t="shared" si="46"/>
        <v>750694.06</v>
      </c>
      <c r="AK52" s="155">
        <f t="shared" si="46"/>
        <v>0</v>
      </c>
      <c r="AL52" s="155">
        <f t="shared" si="46"/>
        <v>129347.97</v>
      </c>
      <c r="AM52" s="156">
        <f t="shared" si="46"/>
        <v>0</v>
      </c>
      <c r="AN52" s="156">
        <f t="shared" si="46"/>
        <v>10.8</v>
      </c>
      <c r="AO52" s="155">
        <f t="shared" si="46"/>
        <v>0</v>
      </c>
      <c r="AP52" s="155">
        <f t="shared" si="46"/>
        <v>880052.8300000001</v>
      </c>
      <c r="AQ52" s="155">
        <f t="shared" si="46"/>
        <v>0</v>
      </c>
      <c r="AR52" s="155">
        <f t="shared" si="46"/>
        <v>192216.33000000002</v>
      </c>
      <c r="AS52" s="155">
        <f t="shared" si="46"/>
        <v>0</v>
      </c>
      <c r="AT52" s="155">
        <f t="shared" si="46"/>
        <v>0</v>
      </c>
      <c r="AU52" s="155">
        <f>SUM(AU53,AU57,AU71,AU75,AU77,AU81)</f>
        <v>0</v>
      </c>
      <c r="AV52" s="155">
        <f>SUM(AV53,AV57,AV71,AV75,AV77,AV81)</f>
        <v>1072269.16</v>
      </c>
      <c r="AW52" s="155">
        <f t="shared" si="46"/>
        <v>0</v>
      </c>
      <c r="AX52" s="155">
        <f t="shared" si="46"/>
        <v>44634.380000000005</v>
      </c>
      <c r="AY52" s="155">
        <f t="shared" si="46"/>
        <v>0</v>
      </c>
      <c r="AZ52" s="155">
        <f t="shared" si="46"/>
        <v>0</v>
      </c>
      <c r="BA52" s="155">
        <f t="shared" si="46"/>
        <v>0</v>
      </c>
      <c r="BB52" s="155">
        <f t="shared" si="46"/>
        <v>1116903.54</v>
      </c>
      <c r="BC52" s="155">
        <f t="shared" si="46"/>
        <v>0</v>
      </c>
      <c r="BD52" s="155">
        <f>SUM(BD53,BD57,BD71,BD75,BD77,BD81)</f>
        <v>0</v>
      </c>
      <c r="BE52" s="155">
        <f t="shared" si="46"/>
        <v>0</v>
      </c>
      <c r="BF52" s="155">
        <f t="shared" si="46"/>
        <v>0</v>
      </c>
      <c r="BG52" s="155">
        <f t="shared" si="46"/>
        <v>0</v>
      </c>
      <c r="BH52" s="155">
        <f>SUM(BH53,BH57,BH71,BH75,BH77,BH81)</f>
        <v>1116903.54</v>
      </c>
      <c r="BI52" s="155">
        <f t="shared" si="46"/>
        <v>0</v>
      </c>
      <c r="BJ52" s="155">
        <f t="shared" si="46"/>
        <v>0</v>
      </c>
      <c r="BK52" s="155">
        <f t="shared" si="46"/>
        <v>0</v>
      </c>
      <c r="BL52" s="155">
        <f t="shared" si="46"/>
        <v>0</v>
      </c>
      <c r="BM52" s="155">
        <f t="shared" si="46"/>
        <v>0</v>
      </c>
      <c r="BN52" s="155">
        <f t="shared" si="46"/>
        <v>1116903.54</v>
      </c>
      <c r="BO52" s="155">
        <f t="shared" si="46"/>
        <v>0</v>
      </c>
      <c r="BP52" s="155">
        <f t="shared" si="46"/>
        <v>0</v>
      </c>
      <c r="BQ52" s="155">
        <f t="shared" si="46"/>
        <v>0</v>
      </c>
      <c r="BR52" s="155">
        <f aca="true" t="shared" si="47" ref="BR52:CC52">SUM(BR53,BR57,BR71,BR75,BR77,BR81)</f>
        <v>0</v>
      </c>
      <c r="BS52" s="155">
        <f t="shared" si="47"/>
        <v>0</v>
      </c>
      <c r="BT52" s="155">
        <f t="shared" si="47"/>
        <v>1116903.54</v>
      </c>
      <c r="BU52" s="155">
        <f t="shared" si="47"/>
        <v>0</v>
      </c>
      <c r="BV52" s="155">
        <f t="shared" si="47"/>
        <v>0</v>
      </c>
      <c r="BW52" s="155">
        <f t="shared" si="47"/>
        <v>0</v>
      </c>
      <c r="BX52" s="155">
        <f t="shared" si="47"/>
        <v>0</v>
      </c>
      <c r="BY52" s="155">
        <f t="shared" si="47"/>
        <v>0</v>
      </c>
      <c r="BZ52" s="155">
        <f t="shared" si="47"/>
        <v>1116903.54</v>
      </c>
      <c r="CA52" s="156">
        <f t="shared" si="47"/>
        <v>0</v>
      </c>
      <c r="CB52" s="156">
        <f t="shared" si="47"/>
        <v>0</v>
      </c>
      <c r="CC52" s="155">
        <f t="shared" si="47"/>
        <v>0</v>
      </c>
      <c r="CD52" s="155">
        <f>SUM(CD53,CD57,CD71,CD75,CD77,CD81)</f>
        <v>1116903.54</v>
      </c>
      <c r="CE52" s="157"/>
      <c r="CF52" s="157"/>
    </row>
    <row r="53" spans="1:84" s="158" customFormat="1" ht="15.75">
      <c r="A53" s="159"/>
      <c r="B53" s="160" t="s">
        <v>93</v>
      </c>
      <c r="C53" s="160"/>
      <c r="D53" s="160"/>
      <c r="E53" s="161">
        <f>SUM(E54:E56)</f>
        <v>0</v>
      </c>
      <c r="F53" s="161">
        <f>SUM(F54:F56)</f>
        <v>0</v>
      </c>
      <c r="G53" s="161">
        <f>SUM(G54:G56)</f>
        <v>0</v>
      </c>
      <c r="H53" s="161">
        <f>SUM(H54:H56)</f>
        <v>0</v>
      </c>
      <c r="I53" s="161">
        <f aca="true" t="shared" si="48" ref="I53:BS53">SUM(I54:I56)</f>
        <v>0</v>
      </c>
      <c r="J53" s="161">
        <f t="shared" si="48"/>
        <v>0</v>
      </c>
      <c r="K53" s="161">
        <f t="shared" si="48"/>
        <v>0</v>
      </c>
      <c r="L53" s="161">
        <f>SUM(L54:L56)</f>
        <v>0</v>
      </c>
      <c r="M53" s="161">
        <f t="shared" si="48"/>
        <v>0</v>
      </c>
      <c r="N53" s="161">
        <f>SUM(N54:N56)</f>
        <v>0</v>
      </c>
      <c r="O53" s="161">
        <f t="shared" si="48"/>
        <v>0</v>
      </c>
      <c r="P53" s="161">
        <f t="shared" si="48"/>
        <v>0</v>
      </c>
      <c r="Q53" s="161">
        <f t="shared" si="48"/>
        <v>0</v>
      </c>
      <c r="R53" s="161">
        <f>SUM(R54:R56)</f>
        <v>0</v>
      </c>
      <c r="S53" s="161">
        <f t="shared" si="48"/>
        <v>0</v>
      </c>
      <c r="T53" s="161">
        <f t="shared" si="48"/>
        <v>0</v>
      </c>
      <c r="U53" s="161">
        <f t="shared" si="48"/>
        <v>0</v>
      </c>
      <c r="V53" s="161">
        <f t="shared" si="48"/>
        <v>0</v>
      </c>
      <c r="W53" s="161">
        <f t="shared" si="48"/>
        <v>0</v>
      </c>
      <c r="X53" s="161">
        <f>SUM(X54:X56)</f>
        <v>0</v>
      </c>
      <c r="Y53" s="161">
        <f t="shared" si="48"/>
        <v>0</v>
      </c>
      <c r="Z53" s="161">
        <f>SUM(Z54:Z56)</f>
        <v>14499.36</v>
      </c>
      <c r="AA53" s="161">
        <f t="shared" si="48"/>
        <v>0</v>
      </c>
      <c r="AB53" s="161">
        <f t="shared" si="48"/>
        <v>0</v>
      </c>
      <c r="AC53" s="161">
        <f t="shared" si="48"/>
        <v>0</v>
      </c>
      <c r="AD53" s="161">
        <f>SUM(AD54:AD56)</f>
        <v>14499.36</v>
      </c>
      <c r="AE53" s="161">
        <f t="shared" si="48"/>
        <v>0</v>
      </c>
      <c r="AF53" s="161">
        <f>SUM(AF54:AF56)</f>
        <v>72734.59</v>
      </c>
      <c r="AG53" s="161">
        <f t="shared" si="48"/>
        <v>0</v>
      </c>
      <c r="AH53" s="161">
        <f t="shared" si="48"/>
        <v>0</v>
      </c>
      <c r="AI53" s="161">
        <f t="shared" si="48"/>
        <v>0</v>
      </c>
      <c r="AJ53" s="161">
        <f>SUM(AJ54:AJ56)</f>
        <v>87233.95</v>
      </c>
      <c r="AK53" s="161">
        <f t="shared" si="48"/>
        <v>0</v>
      </c>
      <c r="AL53" s="161">
        <f t="shared" si="48"/>
        <v>74191.18</v>
      </c>
      <c r="AM53" s="162">
        <f t="shared" si="48"/>
        <v>0</v>
      </c>
      <c r="AN53" s="162">
        <f t="shared" si="48"/>
        <v>0</v>
      </c>
      <c r="AO53" s="161">
        <f t="shared" si="48"/>
        <v>0</v>
      </c>
      <c r="AP53" s="161">
        <f>SUM(AP54:AP56)</f>
        <v>161425.12999999998</v>
      </c>
      <c r="AQ53" s="161">
        <f t="shared" si="48"/>
        <v>0</v>
      </c>
      <c r="AR53" s="161">
        <f>SUM(AR54:AR56)</f>
        <v>10381.33</v>
      </c>
      <c r="AS53" s="161">
        <f t="shared" si="48"/>
        <v>0</v>
      </c>
      <c r="AT53" s="161">
        <f t="shared" si="48"/>
        <v>0</v>
      </c>
      <c r="AU53" s="161">
        <f>SUM(AU54:AU56)</f>
        <v>0</v>
      </c>
      <c r="AV53" s="161">
        <f>SUM(AV54:AV56)</f>
        <v>171806.45999999996</v>
      </c>
      <c r="AW53" s="161">
        <f t="shared" si="48"/>
        <v>0</v>
      </c>
      <c r="AX53" s="161">
        <f>SUM(AX54:AX56)</f>
        <v>869.38</v>
      </c>
      <c r="AY53" s="161">
        <f>SUM(AY54:AY56)</f>
        <v>0</v>
      </c>
      <c r="AZ53" s="161">
        <f>SUM(AZ54:AZ56)</f>
        <v>0</v>
      </c>
      <c r="BA53" s="161">
        <f t="shared" si="48"/>
        <v>0</v>
      </c>
      <c r="BB53" s="161">
        <f>SUM(BB54:BB56)</f>
        <v>172675.83999999997</v>
      </c>
      <c r="BC53" s="161">
        <f t="shared" si="48"/>
        <v>0</v>
      </c>
      <c r="BD53" s="161">
        <f t="shared" si="48"/>
        <v>0</v>
      </c>
      <c r="BE53" s="161">
        <f t="shared" si="48"/>
        <v>0</v>
      </c>
      <c r="BF53" s="161">
        <f t="shared" si="48"/>
        <v>0</v>
      </c>
      <c r="BG53" s="161">
        <f>SUM(BG54:BG56)</f>
        <v>0</v>
      </c>
      <c r="BH53" s="161">
        <f>SUM(BH54:BH56)</f>
        <v>172675.83999999997</v>
      </c>
      <c r="BI53" s="161">
        <f t="shared" si="48"/>
        <v>0</v>
      </c>
      <c r="BJ53" s="161">
        <f t="shared" si="48"/>
        <v>0</v>
      </c>
      <c r="BK53" s="161">
        <f t="shared" si="48"/>
        <v>0</v>
      </c>
      <c r="BL53" s="161">
        <f t="shared" si="48"/>
        <v>0</v>
      </c>
      <c r="BM53" s="161">
        <f t="shared" si="48"/>
        <v>0</v>
      </c>
      <c r="BN53" s="161">
        <f>SUM(BN54:BN56)</f>
        <v>172675.83999999997</v>
      </c>
      <c r="BO53" s="161">
        <f t="shared" si="48"/>
        <v>0</v>
      </c>
      <c r="BP53" s="161">
        <f>SUM(BP54:BP56)</f>
        <v>0</v>
      </c>
      <c r="BQ53" s="161">
        <f t="shared" si="48"/>
        <v>0</v>
      </c>
      <c r="BR53" s="161">
        <f t="shared" si="48"/>
        <v>0</v>
      </c>
      <c r="BS53" s="161">
        <f t="shared" si="48"/>
        <v>0</v>
      </c>
      <c r="BT53" s="161">
        <f>SUM(BT54:BT56)</f>
        <v>172675.83999999997</v>
      </c>
      <c r="BU53" s="161">
        <f aca="true" t="shared" si="49" ref="BU53:CC53">SUM(BU54:BU56)</f>
        <v>0</v>
      </c>
      <c r="BV53" s="161">
        <f t="shared" si="49"/>
        <v>0</v>
      </c>
      <c r="BW53" s="161">
        <f t="shared" si="49"/>
        <v>0</v>
      </c>
      <c r="BX53" s="161">
        <f t="shared" si="49"/>
        <v>0</v>
      </c>
      <c r="BY53" s="161">
        <f t="shared" si="49"/>
        <v>0</v>
      </c>
      <c r="BZ53" s="161">
        <f>SUM(BZ54:BZ56)</f>
        <v>172675.83999999997</v>
      </c>
      <c r="CA53" s="162">
        <f>SUM(CA54:CA56)</f>
        <v>0</v>
      </c>
      <c r="CB53" s="162">
        <f>SUM(CB54:CB56)</f>
        <v>0</v>
      </c>
      <c r="CC53" s="161">
        <f t="shared" si="49"/>
        <v>0</v>
      </c>
      <c r="CD53" s="161">
        <f>SUM(CD54:CD56)</f>
        <v>172675.83999999997</v>
      </c>
      <c r="CE53" s="157"/>
      <c r="CF53" s="157"/>
    </row>
    <row r="54" spans="1:82" ht="15.75">
      <c r="A54" s="35"/>
      <c r="B54" s="36"/>
      <c r="C54" s="36" t="s">
        <v>42</v>
      </c>
      <c r="D54" s="36"/>
      <c r="E54" s="37"/>
      <c r="F54" s="37"/>
      <c r="G54" s="37"/>
      <c r="H54" s="37"/>
      <c r="I54" s="37"/>
      <c r="J54" s="37"/>
      <c r="K54" s="37"/>
      <c r="L54" s="37">
        <f>SUM(F54-G54+H54-I54+J54)</f>
        <v>0</v>
      </c>
      <c r="M54" s="37"/>
      <c r="N54" s="37"/>
      <c r="O54" s="37"/>
      <c r="P54" s="37"/>
      <c r="Q54" s="37"/>
      <c r="R54" s="37">
        <f>SUM(L54-M54+N54-O54+P54)</f>
        <v>0</v>
      </c>
      <c r="S54" s="37"/>
      <c r="T54" s="37"/>
      <c r="U54" s="37"/>
      <c r="V54" s="37"/>
      <c r="W54" s="37"/>
      <c r="X54" s="37">
        <f>SUM(R54-S54+T54-U54+V54)</f>
        <v>0</v>
      </c>
      <c r="Y54" s="37"/>
      <c r="Z54" s="37">
        <v>13862</v>
      </c>
      <c r="AA54" s="37"/>
      <c r="AB54" s="37"/>
      <c r="AC54" s="37"/>
      <c r="AD54" s="37">
        <f>SUM(X54-Y54+Z54-AA54+AB54)</f>
        <v>13862</v>
      </c>
      <c r="AE54" s="37"/>
      <c r="AF54" s="37">
        <v>69016.29</v>
      </c>
      <c r="AG54" s="37"/>
      <c r="AH54" s="37"/>
      <c r="AI54" s="37"/>
      <c r="AJ54" s="37">
        <f>SUM(AD54-AE54+AF54-AG54+AH54)</f>
        <v>82878.29</v>
      </c>
      <c r="AK54" s="37"/>
      <c r="AL54" s="37">
        <v>67653</v>
      </c>
      <c r="AM54" s="37"/>
      <c r="AN54" s="37"/>
      <c r="AO54" s="37"/>
      <c r="AP54" s="37">
        <f>SUM(AJ54-AK54+AL54-AM54+AN54)</f>
        <v>150531.28999999998</v>
      </c>
      <c r="AQ54" s="37"/>
      <c r="AR54" s="37">
        <v>8032.08</v>
      </c>
      <c r="AS54" s="37"/>
      <c r="AT54" s="37"/>
      <c r="AU54" s="37"/>
      <c r="AV54" s="37">
        <f>SUM(AP54-AQ54+AR54-AS54+AT54)</f>
        <v>158563.36999999997</v>
      </c>
      <c r="AW54" s="37"/>
      <c r="AX54" s="37">
        <v>0</v>
      </c>
      <c r="AY54" s="37"/>
      <c r="AZ54" s="37"/>
      <c r="BA54" s="37"/>
      <c r="BB54" s="37">
        <f>SUM(AV54-AW54+AX54-AY54+AZ54)</f>
        <v>158563.36999999997</v>
      </c>
      <c r="BC54" s="37"/>
      <c r="BD54" s="37"/>
      <c r="BE54" s="37"/>
      <c r="BF54" s="37"/>
      <c r="BG54" s="37"/>
      <c r="BH54" s="37">
        <f>SUM(BB54-BC54+BD54-BE54+BF54)</f>
        <v>158563.36999999997</v>
      </c>
      <c r="BI54" s="37"/>
      <c r="BJ54" s="37"/>
      <c r="BK54" s="37"/>
      <c r="BL54" s="37"/>
      <c r="BM54" s="37"/>
      <c r="BN54" s="37">
        <f>SUM(BH54-BI54+BJ54-BK54+BL54)</f>
        <v>158563.36999999997</v>
      </c>
      <c r="BO54" s="37"/>
      <c r="BP54" s="37"/>
      <c r="BQ54" s="37"/>
      <c r="BR54" s="37"/>
      <c r="BS54" s="37"/>
      <c r="BT54" s="37">
        <f>SUM(BN54-BO54+BP54-BQ54+BR54)</f>
        <v>158563.36999999997</v>
      </c>
      <c r="BU54" s="37"/>
      <c r="BV54" s="37"/>
      <c r="BW54" s="37"/>
      <c r="BX54" s="37"/>
      <c r="BY54" s="37"/>
      <c r="BZ54" s="37">
        <f>SUM(BT54-BU54+BV54-BW54+BX54)</f>
        <v>158563.36999999997</v>
      </c>
      <c r="CA54" s="37"/>
      <c r="CB54" s="37"/>
      <c r="CC54" s="37"/>
      <c r="CD54" s="14">
        <f>SUM(BX54-BY54+BZ54-CA54+CB54)</f>
        <v>158563.36999999997</v>
      </c>
    </row>
    <row r="55" spans="1:82" ht="15.75">
      <c r="A55" s="38"/>
      <c r="B55" s="39"/>
      <c r="C55" s="39" t="s">
        <v>41</v>
      </c>
      <c r="D55" s="39"/>
      <c r="E55" s="40"/>
      <c r="F55" s="40"/>
      <c r="G55" s="40"/>
      <c r="H55" s="40"/>
      <c r="I55" s="40"/>
      <c r="J55" s="40"/>
      <c r="K55" s="40"/>
      <c r="L55" s="40">
        <f>SUM(F55-G55+H55-I55+J55)</f>
        <v>0</v>
      </c>
      <c r="M55" s="40"/>
      <c r="N55" s="40"/>
      <c r="O55" s="40"/>
      <c r="P55" s="40"/>
      <c r="Q55" s="40"/>
      <c r="R55" s="40">
        <f>SUM(L55-M55+N55-O55+P55)</f>
        <v>0</v>
      </c>
      <c r="S55" s="40"/>
      <c r="T55" s="40"/>
      <c r="U55" s="40"/>
      <c r="V55" s="40"/>
      <c r="W55" s="40"/>
      <c r="X55" s="40">
        <f>SUM(R55-S55+T55-U55+V55)</f>
        <v>0</v>
      </c>
      <c r="Y55" s="40"/>
      <c r="Z55" s="40">
        <v>349.36</v>
      </c>
      <c r="AA55" s="40"/>
      <c r="AB55" s="40"/>
      <c r="AC55" s="40"/>
      <c r="AD55" s="40">
        <f>SUM(X55-Y55+Z55-AA55+AB55)</f>
        <v>349.36</v>
      </c>
      <c r="AE55" s="40"/>
      <c r="AF55" s="40">
        <v>1558.3</v>
      </c>
      <c r="AG55" s="40"/>
      <c r="AH55" s="40"/>
      <c r="AI55" s="40"/>
      <c r="AJ55" s="40">
        <f>SUM(AD55-AE55+AF55-AG55+AH55)</f>
        <v>1907.6599999999999</v>
      </c>
      <c r="AK55" s="40"/>
      <c r="AL55" s="40">
        <v>4810.18</v>
      </c>
      <c r="AM55" s="40"/>
      <c r="AN55" s="40"/>
      <c r="AO55" s="40"/>
      <c r="AP55" s="40">
        <f>SUM(AJ55-AK55+AL55-AM55+AN55)</f>
        <v>6717.84</v>
      </c>
      <c r="AQ55" s="40"/>
      <c r="AR55" s="40">
        <v>2349.25</v>
      </c>
      <c r="AS55" s="40"/>
      <c r="AT55" s="40"/>
      <c r="AU55" s="40"/>
      <c r="AV55" s="40">
        <f>SUM(AP55-AQ55+AR55-AS55+AT55)</f>
        <v>9067.09</v>
      </c>
      <c r="AW55" s="40"/>
      <c r="AX55" s="40">
        <v>869.38</v>
      </c>
      <c r="AY55" s="40"/>
      <c r="AZ55" s="40"/>
      <c r="BA55" s="40"/>
      <c r="BB55" s="40">
        <f>SUM(AV55-AW55+AX55-AY55+AZ55)</f>
        <v>9936.47</v>
      </c>
      <c r="BC55" s="40"/>
      <c r="BD55" s="40"/>
      <c r="BE55" s="40"/>
      <c r="BF55" s="40"/>
      <c r="BG55" s="40"/>
      <c r="BH55" s="40">
        <f>SUM(BB55-BC55+BD55-BE55+BF55)</f>
        <v>9936.47</v>
      </c>
      <c r="BI55" s="40"/>
      <c r="BJ55" s="40"/>
      <c r="BK55" s="40"/>
      <c r="BL55" s="40"/>
      <c r="BM55" s="40"/>
      <c r="BN55" s="40">
        <f>SUM(BH55-BI55+BJ55-BK55+BL55)</f>
        <v>9936.47</v>
      </c>
      <c r="BO55" s="40"/>
      <c r="BP55" s="40"/>
      <c r="BQ55" s="40"/>
      <c r="BR55" s="40"/>
      <c r="BS55" s="40"/>
      <c r="BT55" s="40">
        <f>SUM(BN55-BO55+BP55-BQ55+BR55)</f>
        <v>9936.47</v>
      </c>
      <c r="BU55" s="40"/>
      <c r="BV55" s="40"/>
      <c r="BW55" s="40"/>
      <c r="BX55" s="40"/>
      <c r="BY55" s="40"/>
      <c r="BZ55" s="40">
        <f>SUM(BT55-BU55+BV55-BW55+BX55)</f>
        <v>9936.47</v>
      </c>
      <c r="CA55" s="40"/>
      <c r="CB55" s="40"/>
      <c r="CC55" s="40"/>
      <c r="CD55" s="40">
        <f>+BZ55+CB55-CA55</f>
        <v>9936.47</v>
      </c>
    </row>
    <row r="56" spans="1:82" ht="15.75">
      <c r="A56" s="41"/>
      <c r="B56" s="42"/>
      <c r="C56" s="42" t="s">
        <v>43</v>
      </c>
      <c r="D56" s="42"/>
      <c r="E56" s="43"/>
      <c r="F56" s="43"/>
      <c r="G56" s="43"/>
      <c r="H56" s="43"/>
      <c r="I56" s="43"/>
      <c r="J56" s="43"/>
      <c r="K56" s="43"/>
      <c r="L56" s="40">
        <f>SUM(F56-G56+H56-I56+J56)</f>
        <v>0</v>
      </c>
      <c r="M56" s="43"/>
      <c r="N56" s="43"/>
      <c r="O56" s="43"/>
      <c r="P56" s="43"/>
      <c r="Q56" s="43"/>
      <c r="R56" s="40">
        <f>SUM(L56-M56+N56-O56+P56)</f>
        <v>0</v>
      </c>
      <c r="S56" s="43"/>
      <c r="T56" s="43"/>
      <c r="U56" s="43"/>
      <c r="V56" s="43"/>
      <c r="W56" s="43"/>
      <c r="X56" s="40">
        <f>SUM(R56-S56+T56-U56+V56)</f>
        <v>0</v>
      </c>
      <c r="Y56" s="43"/>
      <c r="Z56" s="43">
        <v>288</v>
      </c>
      <c r="AA56" s="43"/>
      <c r="AB56" s="43"/>
      <c r="AC56" s="43"/>
      <c r="AD56" s="40">
        <f>SUM(X56-Y56+Z56-AA56+AB56)</f>
        <v>288</v>
      </c>
      <c r="AE56" s="43"/>
      <c r="AF56" s="43">
        <v>2160</v>
      </c>
      <c r="AG56" s="43"/>
      <c r="AH56" s="43"/>
      <c r="AI56" s="43"/>
      <c r="AJ56" s="40">
        <f>SUM(AD56-AE56+AF56-AG56+AH56)</f>
        <v>2448</v>
      </c>
      <c r="AK56" s="43"/>
      <c r="AL56" s="43">
        <v>1728</v>
      </c>
      <c r="AM56" s="43"/>
      <c r="AN56" s="43"/>
      <c r="AO56" s="43"/>
      <c r="AP56" s="40">
        <f>SUM(AJ56-AK56+AL56-AM56+AN56)</f>
        <v>4176</v>
      </c>
      <c r="AQ56" s="43"/>
      <c r="AR56" s="43"/>
      <c r="AS56" s="43"/>
      <c r="AT56" s="43"/>
      <c r="AU56" s="43"/>
      <c r="AV56" s="40">
        <f>SUM(AP56-AQ56+AR56-AS56+AT56)</f>
        <v>4176</v>
      </c>
      <c r="AW56" s="43"/>
      <c r="AX56" s="43">
        <v>0</v>
      </c>
      <c r="AY56" s="43"/>
      <c r="AZ56" s="43"/>
      <c r="BA56" s="43"/>
      <c r="BB56" s="40">
        <f>SUM(AV56-AW56+AX56-AY56+AZ56)</f>
        <v>4176</v>
      </c>
      <c r="BC56" s="43"/>
      <c r="BD56" s="43"/>
      <c r="BE56" s="43"/>
      <c r="BF56" s="43"/>
      <c r="BG56" s="43"/>
      <c r="BH56" s="40">
        <f>SUM(BB56-BC56+BD56-BE56+BF56)</f>
        <v>4176</v>
      </c>
      <c r="BI56" s="43"/>
      <c r="BJ56" s="43"/>
      <c r="BK56" s="43"/>
      <c r="BL56" s="43"/>
      <c r="BM56" s="43"/>
      <c r="BN56" s="40">
        <f>SUM(BH56-BI56+BJ56-BK56+BL56)</f>
        <v>4176</v>
      </c>
      <c r="BO56" s="43"/>
      <c r="BP56" s="43"/>
      <c r="BQ56" s="43"/>
      <c r="BR56" s="43"/>
      <c r="BS56" s="43"/>
      <c r="BT56" s="40">
        <f>SUM(BN56-BO56+BP56-BQ56+BR56)</f>
        <v>4176</v>
      </c>
      <c r="BU56" s="43"/>
      <c r="BV56" s="43"/>
      <c r="BW56" s="43"/>
      <c r="BX56" s="43"/>
      <c r="BY56" s="43"/>
      <c r="BZ56" s="40">
        <f>SUM(BT56-BU56+BV56-BW56+BX56)</f>
        <v>4176</v>
      </c>
      <c r="CA56" s="43"/>
      <c r="CB56" s="43"/>
      <c r="CC56" s="43"/>
      <c r="CD56" s="40">
        <f>SUM(BX56-BY56+BZ56-CA56+CB56)</f>
        <v>4176</v>
      </c>
    </row>
    <row r="57" spans="1:84" s="168" customFormat="1" ht="15.75">
      <c r="A57" s="163"/>
      <c r="B57" s="164" t="s">
        <v>94</v>
      </c>
      <c r="C57" s="164"/>
      <c r="D57" s="164"/>
      <c r="E57" s="165">
        <f>SUM(E58:E69)</f>
        <v>0</v>
      </c>
      <c r="F57" s="165">
        <f>SUM(F58:F69)</f>
        <v>0</v>
      </c>
      <c r="G57" s="165">
        <f>SUM(G58:G69)</f>
        <v>0</v>
      </c>
      <c r="H57" s="165">
        <f>SUM(H58:H69)</f>
        <v>19980</v>
      </c>
      <c r="I57" s="165">
        <f aca="true" t="shared" si="50" ref="I57:BS57">SUM(I58:I69)</f>
        <v>0</v>
      </c>
      <c r="J57" s="165">
        <f t="shared" si="50"/>
        <v>0</v>
      </c>
      <c r="K57" s="165">
        <f t="shared" si="50"/>
        <v>0</v>
      </c>
      <c r="L57" s="165">
        <f>SUM(L58:L69)</f>
        <v>19980</v>
      </c>
      <c r="M57" s="165">
        <f t="shared" si="50"/>
        <v>0</v>
      </c>
      <c r="N57" s="165">
        <f>SUM(N58:N69)</f>
        <v>17470</v>
      </c>
      <c r="O57" s="165">
        <f t="shared" si="50"/>
        <v>0</v>
      </c>
      <c r="P57" s="165">
        <f t="shared" si="50"/>
        <v>0</v>
      </c>
      <c r="Q57" s="165">
        <f t="shared" si="50"/>
        <v>0</v>
      </c>
      <c r="R57" s="165">
        <f>SUM(R58:R69)</f>
        <v>37450</v>
      </c>
      <c r="S57" s="165">
        <f t="shared" si="50"/>
        <v>0</v>
      </c>
      <c r="T57" s="165">
        <f t="shared" si="50"/>
        <v>44153</v>
      </c>
      <c r="U57" s="165">
        <f t="shared" si="50"/>
        <v>0</v>
      </c>
      <c r="V57" s="165">
        <f t="shared" si="50"/>
        <v>0</v>
      </c>
      <c r="W57" s="165">
        <f t="shared" si="50"/>
        <v>0</v>
      </c>
      <c r="X57" s="165">
        <f>SUM(X58:X69)</f>
        <v>81603</v>
      </c>
      <c r="Y57" s="165">
        <f t="shared" si="50"/>
        <v>0</v>
      </c>
      <c r="Z57" s="165">
        <f>SUM(Z58:Z69)</f>
        <v>43642</v>
      </c>
      <c r="AA57" s="165">
        <f t="shared" si="50"/>
        <v>0</v>
      </c>
      <c r="AB57" s="165">
        <f t="shared" si="50"/>
        <v>0</v>
      </c>
      <c r="AC57" s="165">
        <f t="shared" si="50"/>
        <v>0</v>
      </c>
      <c r="AD57" s="165">
        <f>SUM(AD58:AD69)</f>
        <v>125245</v>
      </c>
      <c r="AE57" s="165">
        <f t="shared" si="50"/>
        <v>0</v>
      </c>
      <c r="AF57" s="165">
        <f>SUM(AF58:AF69)</f>
        <v>19358.2</v>
      </c>
      <c r="AG57" s="165">
        <f t="shared" si="50"/>
        <v>0</v>
      </c>
      <c r="AH57" s="165">
        <f t="shared" si="50"/>
        <v>0</v>
      </c>
      <c r="AI57" s="165">
        <f t="shared" si="50"/>
        <v>0</v>
      </c>
      <c r="AJ57" s="165">
        <f>SUM(AJ58:AJ69)</f>
        <v>144603.2</v>
      </c>
      <c r="AK57" s="165">
        <f t="shared" si="50"/>
        <v>0</v>
      </c>
      <c r="AL57" s="165">
        <f t="shared" si="50"/>
        <v>19650</v>
      </c>
      <c r="AM57" s="166">
        <f t="shared" si="50"/>
        <v>0</v>
      </c>
      <c r="AN57" s="166">
        <f t="shared" si="50"/>
        <v>0</v>
      </c>
      <c r="AO57" s="165">
        <f t="shared" si="50"/>
        <v>0</v>
      </c>
      <c r="AP57" s="165">
        <f>SUM(AP58:AP69)</f>
        <v>164253.2</v>
      </c>
      <c r="AQ57" s="165">
        <f>SUM(AQ58:AQ69)</f>
        <v>0</v>
      </c>
      <c r="AR57" s="165">
        <f>SUM(AR58:AR69)</f>
        <v>16240</v>
      </c>
      <c r="AS57" s="165">
        <f t="shared" si="50"/>
        <v>0</v>
      </c>
      <c r="AT57" s="165">
        <f t="shared" si="50"/>
        <v>0</v>
      </c>
      <c r="AU57" s="165">
        <f t="shared" si="50"/>
        <v>0</v>
      </c>
      <c r="AV57" s="165">
        <f>SUM(AV58:AV69)</f>
        <v>180493.2</v>
      </c>
      <c r="AW57" s="165">
        <f t="shared" si="50"/>
        <v>0</v>
      </c>
      <c r="AX57" s="165">
        <f>SUM(AX58:AX69)</f>
        <v>18160</v>
      </c>
      <c r="AY57" s="165">
        <f t="shared" si="50"/>
        <v>0</v>
      </c>
      <c r="AZ57" s="165">
        <f t="shared" si="50"/>
        <v>0</v>
      </c>
      <c r="BA57" s="165">
        <f t="shared" si="50"/>
        <v>0</v>
      </c>
      <c r="BB57" s="165">
        <f>SUM(BB58:BB70)</f>
        <v>198653.2</v>
      </c>
      <c r="BC57" s="165">
        <f t="shared" si="50"/>
        <v>0</v>
      </c>
      <c r="BD57" s="165">
        <f t="shared" si="50"/>
        <v>0</v>
      </c>
      <c r="BE57" s="165">
        <f t="shared" si="50"/>
        <v>0</v>
      </c>
      <c r="BF57" s="165">
        <f t="shared" si="50"/>
        <v>0</v>
      </c>
      <c r="BG57" s="165">
        <f>SUM(BG58:BG69)</f>
        <v>0</v>
      </c>
      <c r="BH57" s="165">
        <f>SUM(BH58:BH69)</f>
        <v>198653.2</v>
      </c>
      <c r="BI57" s="165">
        <f t="shared" si="50"/>
        <v>0</v>
      </c>
      <c r="BJ57" s="165">
        <f t="shared" si="50"/>
        <v>0</v>
      </c>
      <c r="BK57" s="165">
        <f t="shared" si="50"/>
        <v>0</v>
      </c>
      <c r="BL57" s="165">
        <f t="shared" si="50"/>
        <v>0</v>
      </c>
      <c r="BM57" s="165">
        <f t="shared" si="50"/>
        <v>0</v>
      </c>
      <c r="BN57" s="165">
        <f>SUM(BN58:BN69)</f>
        <v>198653.2</v>
      </c>
      <c r="BO57" s="165">
        <f t="shared" si="50"/>
        <v>0</v>
      </c>
      <c r="BP57" s="165">
        <f>SUM(BP58:BP69)</f>
        <v>0</v>
      </c>
      <c r="BQ57" s="165">
        <f t="shared" si="50"/>
        <v>0</v>
      </c>
      <c r="BR57" s="165">
        <f t="shared" si="50"/>
        <v>0</v>
      </c>
      <c r="BS57" s="165">
        <f t="shared" si="50"/>
        <v>0</v>
      </c>
      <c r="BT57" s="165">
        <f>SUM(BT58:BT69)</f>
        <v>198653.2</v>
      </c>
      <c r="BU57" s="165">
        <f aca="true" t="shared" si="51" ref="BU57:CC57">SUM(BU58:BU69)</f>
        <v>0</v>
      </c>
      <c r="BV57" s="165">
        <f>SUM(BV58:BV69)</f>
        <v>0</v>
      </c>
      <c r="BW57" s="165">
        <f t="shared" si="51"/>
        <v>0</v>
      </c>
      <c r="BX57" s="165">
        <f t="shared" si="51"/>
        <v>0</v>
      </c>
      <c r="BY57" s="165">
        <f t="shared" si="51"/>
        <v>0</v>
      </c>
      <c r="BZ57" s="165">
        <f>SUM(BZ58:BZ69)</f>
        <v>198653.2</v>
      </c>
      <c r="CA57" s="166">
        <f>SUM(CA58:CA69)</f>
        <v>0</v>
      </c>
      <c r="CB57" s="166">
        <f t="shared" si="51"/>
        <v>0</v>
      </c>
      <c r="CC57" s="165">
        <f t="shared" si="51"/>
        <v>0</v>
      </c>
      <c r="CD57" s="165">
        <f>SUM(CD58:CD69)</f>
        <v>198653.2</v>
      </c>
      <c r="CE57" s="167"/>
      <c r="CF57" s="167"/>
    </row>
    <row r="58" spans="1:82" ht="15.75">
      <c r="A58" s="35"/>
      <c r="B58" s="36"/>
      <c r="C58" s="36" t="s">
        <v>95</v>
      </c>
      <c r="D58" s="36"/>
      <c r="E58" s="37"/>
      <c r="F58" s="37"/>
      <c r="G58" s="37"/>
      <c r="H58" s="37"/>
      <c r="I58" s="37"/>
      <c r="J58" s="37"/>
      <c r="K58" s="37"/>
      <c r="L58" s="14">
        <f aca="true" t="shared" si="52" ref="L58:L69">SUM(F58-G58+H58-I58+J58)</f>
        <v>0</v>
      </c>
      <c r="M58" s="37"/>
      <c r="N58" s="37">
        <v>0</v>
      </c>
      <c r="O58" s="37"/>
      <c r="P58" s="37"/>
      <c r="Q58" s="37"/>
      <c r="R58" s="14">
        <f aca="true" t="shared" si="53" ref="R58:R69">SUM(L58-M58+N58-O58+P58)</f>
        <v>0</v>
      </c>
      <c r="S58" s="37"/>
      <c r="T58" s="37">
        <v>97</v>
      </c>
      <c r="U58" s="37"/>
      <c r="V58" s="37"/>
      <c r="W58" s="37"/>
      <c r="X58" s="14">
        <f aca="true" t="shared" si="54" ref="X58:X69">SUM(R58-S58+T58-U58+V58)</f>
        <v>97</v>
      </c>
      <c r="Y58" s="37"/>
      <c r="Z58" s="37">
        <v>0</v>
      </c>
      <c r="AA58" s="37"/>
      <c r="AB58" s="37"/>
      <c r="AC58" s="37"/>
      <c r="AD58" s="14">
        <f aca="true" t="shared" si="55" ref="AD58:AD69">SUM(X58-Y58+Z58-AA58+AB58)</f>
        <v>97</v>
      </c>
      <c r="AE58" s="37"/>
      <c r="AF58" s="37">
        <v>58.2</v>
      </c>
      <c r="AG58" s="37"/>
      <c r="AH58" s="37"/>
      <c r="AI58" s="37"/>
      <c r="AJ58" s="37">
        <f aca="true" t="shared" si="56" ref="AJ58:AJ69">SUM(AD58-AE58+AF58-AG58+AH58)</f>
        <v>155.2</v>
      </c>
      <c r="AK58" s="37"/>
      <c r="AL58" s="37">
        <v>0</v>
      </c>
      <c r="AM58" s="37"/>
      <c r="AN58" s="37"/>
      <c r="AO58" s="37"/>
      <c r="AP58" s="37">
        <f aca="true" t="shared" si="57" ref="AP58:AP69">SUM(AJ58-AK58+AL58-AM58+AN58)</f>
        <v>155.2</v>
      </c>
      <c r="AQ58" s="37"/>
      <c r="AR58" s="37"/>
      <c r="AS58" s="37"/>
      <c r="AT58" s="37"/>
      <c r="AU58" s="37"/>
      <c r="AV58" s="37">
        <f aca="true" t="shared" si="58" ref="AV58:AV69">SUM(AP58-AQ58+AR58-AS58+AT58)</f>
        <v>155.2</v>
      </c>
      <c r="AW58" s="37"/>
      <c r="AX58" s="37">
        <v>0</v>
      </c>
      <c r="AY58" s="37"/>
      <c r="AZ58" s="37"/>
      <c r="BA58" s="37"/>
      <c r="BB58" s="37">
        <f aca="true" t="shared" si="59" ref="BB58:BB69">SUM(AV58-AW58+AX58-AY58+AZ58)</f>
        <v>155.2</v>
      </c>
      <c r="BC58" s="37"/>
      <c r="BD58" s="37"/>
      <c r="BE58" s="37"/>
      <c r="BF58" s="37"/>
      <c r="BG58" s="37"/>
      <c r="BH58" s="37">
        <f>SUM(BB58-BC58+BD58-BE58+BF58)</f>
        <v>155.2</v>
      </c>
      <c r="BI58" s="37"/>
      <c r="BJ58" s="37"/>
      <c r="BK58" s="37"/>
      <c r="BL58" s="37"/>
      <c r="BM58" s="37"/>
      <c r="BN58" s="37">
        <f aca="true" t="shared" si="60" ref="BN58:BN69">SUM(BH58-BI58+BJ58-BK58+BL58)</f>
        <v>155.2</v>
      </c>
      <c r="BO58" s="37"/>
      <c r="BP58" s="37"/>
      <c r="BQ58" s="37"/>
      <c r="BR58" s="37"/>
      <c r="BS58" s="37"/>
      <c r="BT58" s="37">
        <f aca="true" t="shared" si="61" ref="BT58:BT69">SUM(BN58-BO58+BP58-BQ58+BR58)</f>
        <v>155.2</v>
      </c>
      <c r="BU58" s="37"/>
      <c r="BV58" s="37"/>
      <c r="BW58" s="37"/>
      <c r="BX58" s="37"/>
      <c r="BY58" s="37"/>
      <c r="BZ58" s="37">
        <f aca="true" t="shared" si="62" ref="BZ58:BZ69">SUM(BT58-BU58+BV58-BW58+BX58)</f>
        <v>155.2</v>
      </c>
      <c r="CA58" s="37"/>
      <c r="CB58" s="37"/>
      <c r="CC58" s="37"/>
      <c r="CD58" s="14">
        <f>+BZ58+CB58-CA58</f>
        <v>155.2</v>
      </c>
    </row>
    <row r="59" spans="1:82" ht="15.75">
      <c r="A59" s="171"/>
      <c r="B59" s="77"/>
      <c r="C59" s="77" t="s">
        <v>351</v>
      </c>
      <c r="D59" s="77"/>
      <c r="E59" s="146"/>
      <c r="F59" s="146"/>
      <c r="G59" s="146"/>
      <c r="H59" s="146">
        <v>16800</v>
      </c>
      <c r="I59" s="146"/>
      <c r="J59" s="146"/>
      <c r="K59" s="146"/>
      <c r="L59" s="40">
        <f t="shared" si="52"/>
        <v>16800</v>
      </c>
      <c r="M59" s="146"/>
      <c r="N59" s="146">
        <v>16620</v>
      </c>
      <c r="O59" s="146"/>
      <c r="P59" s="146"/>
      <c r="Q59" s="146"/>
      <c r="R59" s="40">
        <f t="shared" si="53"/>
        <v>33420</v>
      </c>
      <c r="S59" s="146"/>
      <c r="T59" s="146">
        <v>21360</v>
      </c>
      <c r="U59" s="146"/>
      <c r="V59" s="146"/>
      <c r="W59" s="146"/>
      <c r="X59" s="40">
        <f t="shared" si="54"/>
        <v>54780</v>
      </c>
      <c r="Y59" s="146"/>
      <c r="Z59" s="146">
        <v>16800</v>
      </c>
      <c r="AA59" s="146"/>
      <c r="AB59" s="146"/>
      <c r="AC59" s="146"/>
      <c r="AD59" s="40">
        <f t="shared" si="55"/>
        <v>71580</v>
      </c>
      <c r="AE59" s="146"/>
      <c r="AF59" s="146">
        <v>17820</v>
      </c>
      <c r="AG59" s="146"/>
      <c r="AH59" s="146"/>
      <c r="AI59" s="146"/>
      <c r="AJ59" s="146">
        <f t="shared" si="56"/>
        <v>89400</v>
      </c>
      <c r="AK59" s="146"/>
      <c r="AL59" s="146">
        <v>18200</v>
      </c>
      <c r="AM59" s="146"/>
      <c r="AN59" s="146"/>
      <c r="AO59" s="146"/>
      <c r="AP59" s="146">
        <f t="shared" si="57"/>
        <v>107600</v>
      </c>
      <c r="AQ59" s="146"/>
      <c r="AR59" s="146">
        <v>15940</v>
      </c>
      <c r="AS59" s="146"/>
      <c r="AT59" s="146"/>
      <c r="AU59" s="146"/>
      <c r="AV59" s="146">
        <f t="shared" si="58"/>
        <v>123540</v>
      </c>
      <c r="AW59" s="146"/>
      <c r="AX59" s="146">
        <v>14500</v>
      </c>
      <c r="AY59" s="146"/>
      <c r="AZ59" s="146"/>
      <c r="BA59" s="146"/>
      <c r="BB59" s="146">
        <f t="shared" si="59"/>
        <v>138040</v>
      </c>
      <c r="BC59" s="146"/>
      <c r="BD59" s="146"/>
      <c r="BE59" s="146"/>
      <c r="BF59" s="146"/>
      <c r="BG59" s="146"/>
      <c r="BH59" s="146">
        <f>SUM(BB59-BC59+BD59-BE59+BF59)</f>
        <v>138040</v>
      </c>
      <c r="BI59" s="146"/>
      <c r="BJ59" s="146"/>
      <c r="BK59" s="146"/>
      <c r="BL59" s="146"/>
      <c r="BM59" s="146"/>
      <c r="BN59" s="146">
        <f t="shared" si="60"/>
        <v>138040</v>
      </c>
      <c r="BO59" s="146"/>
      <c r="BP59" s="146"/>
      <c r="BQ59" s="146"/>
      <c r="BR59" s="146"/>
      <c r="BS59" s="146"/>
      <c r="BT59" s="37">
        <f t="shared" si="61"/>
        <v>138040</v>
      </c>
      <c r="BU59" s="146"/>
      <c r="BV59" s="146"/>
      <c r="BW59" s="146"/>
      <c r="BX59" s="146"/>
      <c r="BY59" s="146"/>
      <c r="BZ59" s="37">
        <f t="shared" si="62"/>
        <v>138040</v>
      </c>
      <c r="CA59" s="146"/>
      <c r="CB59" s="146"/>
      <c r="CC59" s="146"/>
      <c r="CD59" s="40">
        <f aca="true" t="shared" si="63" ref="CD59:CD64">+BZ59+CB59-CA59</f>
        <v>138040</v>
      </c>
    </row>
    <row r="60" spans="1:82" ht="15.75">
      <c r="A60" s="38"/>
      <c r="B60" s="39"/>
      <c r="C60" s="39" t="s">
        <v>337</v>
      </c>
      <c r="D60" s="39"/>
      <c r="E60" s="40"/>
      <c r="F60" s="40"/>
      <c r="G60" s="40"/>
      <c r="H60" s="40">
        <v>0</v>
      </c>
      <c r="I60" s="40"/>
      <c r="J60" s="40"/>
      <c r="K60" s="40"/>
      <c r="L60" s="40">
        <f t="shared" si="52"/>
        <v>0</v>
      </c>
      <c r="M60" s="40"/>
      <c r="N60" s="40">
        <v>0</v>
      </c>
      <c r="O60" s="40"/>
      <c r="P60" s="40"/>
      <c r="Q60" s="40"/>
      <c r="R60" s="40">
        <f t="shared" si="53"/>
        <v>0</v>
      </c>
      <c r="S60" s="40"/>
      <c r="T60" s="40">
        <v>0</v>
      </c>
      <c r="U60" s="40"/>
      <c r="V60" s="40"/>
      <c r="W60" s="40"/>
      <c r="X60" s="40">
        <f t="shared" si="54"/>
        <v>0</v>
      </c>
      <c r="Y60" s="40"/>
      <c r="Z60" s="40">
        <v>0</v>
      </c>
      <c r="AA60" s="40"/>
      <c r="AB60" s="40"/>
      <c r="AC60" s="40"/>
      <c r="AD60" s="146">
        <f t="shared" si="55"/>
        <v>0</v>
      </c>
      <c r="AE60" s="40"/>
      <c r="AF60" s="203"/>
      <c r="AG60" s="40"/>
      <c r="AH60" s="40"/>
      <c r="AI60" s="40"/>
      <c r="AJ60" s="40">
        <f t="shared" si="56"/>
        <v>0</v>
      </c>
      <c r="AK60" s="40"/>
      <c r="AL60" s="40">
        <v>0</v>
      </c>
      <c r="AM60" s="40"/>
      <c r="AN60" s="40"/>
      <c r="AO60" s="40"/>
      <c r="AP60" s="40">
        <f t="shared" si="57"/>
        <v>0</v>
      </c>
      <c r="AQ60" s="40"/>
      <c r="AR60" s="40"/>
      <c r="AS60" s="40"/>
      <c r="AT60" s="40"/>
      <c r="AU60" s="40"/>
      <c r="AV60" s="40">
        <f t="shared" si="58"/>
        <v>0</v>
      </c>
      <c r="AW60" s="40"/>
      <c r="AX60" s="40">
        <v>0</v>
      </c>
      <c r="AY60" s="40"/>
      <c r="AZ60" s="40"/>
      <c r="BA60" s="40"/>
      <c r="BB60" s="40">
        <f t="shared" si="59"/>
        <v>0</v>
      </c>
      <c r="BC60" s="40"/>
      <c r="BD60" s="40"/>
      <c r="BE60" s="40"/>
      <c r="BF60" s="40"/>
      <c r="BG60" s="40"/>
      <c r="BH60" s="40">
        <f>SUM(BB60-BC60+BD60-BE60+BF60)</f>
        <v>0</v>
      </c>
      <c r="BI60" s="40"/>
      <c r="BJ60" s="40"/>
      <c r="BK60" s="40"/>
      <c r="BL60" s="40"/>
      <c r="BM60" s="40"/>
      <c r="BN60" s="40">
        <f t="shared" si="60"/>
        <v>0</v>
      </c>
      <c r="BO60" s="40"/>
      <c r="BP60" s="40"/>
      <c r="BQ60" s="40"/>
      <c r="BR60" s="40"/>
      <c r="BS60" s="40"/>
      <c r="BT60" s="40">
        <f t="shared" si="61"/>
        <v>0</v>
      </c>
      <c r="BU60" s="40"/>
      <c r="BV60" s="40"/>
      <c r="BW60" s="40"/>
      <c r="BX60" s="40"/>
      <c r="BY60" s="40"/>
      <c r="BZ60" s="40">
        <f t="shared" si="62"/>
        <v>0</v>
      </c>
      <c r="CA60" s="40"/>
      <c r="CB60" s="40"/>
      <c r="CC60" s="40"/>
      <c r="CD60" s="40">
        <f t="shared" si="63"/>
        <v>0</v>
      </c>
    </row>
    <row r="61" spans="1:82" ht="15.75">
      <c r="A61" s="38"/>
      <c r="B61" s="39"/>
      <c r="C61" s="39" t="s">
        <v>96</v>
      </c>
      <c r="D61" s="39"/>
      <c r="E61" s="40"/>
      <c r="F61" s="40"/>
      <c r="G61" s="40"/>
      <c r="H61" s="40">
        <v>240</v>
      </c>
      <c r="I61" s="40"/>
      <c r="J61" s="40"/>
      <c r="K61" s="40"/>
      <c r="L61" s="40">
        <f t="shared" si="52"/>
        <v>240</v>
      </c>
      <c r="M61" s="40"/>
      <c r="N61" s="40">
        <v>330</v>
      </c>
      <c r="O61" s="40"/>
      <c r="P61" s="40"/>
      <c r="Q61" s="40"/>
      <c r="R61" s="40">
        <f t="shared" si="53"/>
        <v>570</v>
      </c>
      <c r="S61" s="40"/>
      <c r="T61" s="40">
        <v>200</v>
      </c>
      <c r="U61" s="40"/>
      <c r="V61" s="40"/>
      <c r="W61" s="40"/>
      <c r="X61" s="40">
        <f t="shared" si="54"/>
        <v>770</v>
      </c>
      <c r="Y61" s="40"/>
      <c r="Z61" s="40">
        <v>120</v>
      </c>
      <c r="AA61" s="40"/>
      <c r="AB61" s="40"/>
      <c r="AC61" s="40"/>
      <c r="AD61" s="40">
        <f t="shared" si="55"/>
        <v>890</v>
      </c>
      <c r="AE61" s="40"/>
      <c r="AF61" s="40">
        <v>160</v>
      </c>
      <c r="AG61" s="40"/>
      <c r="AH61" s="40"/>
      <c r="AI61" s="40"/>
      <c r="AJ61" s="40">
        <f t="shared" si="56"/>
        <v>1050</v>
      </c>
      <c r="AK61" s="40"/>
      <c r="AL61" s="40">
        <v>260</v>
      </c>
      <c r="AM61" s="40"/>
      <c r="AN61" s="40"/>
      <c r="AO61" s="40"/>
      <c r="AP61" s="40">
        <f t="shared" si="57"/>
        <v>1310</v>
      </c>
      <c r="AQ61" s="40"/>
      <c r="AR61" s="40">
        <v>280</v>
      </c>
      <c r="AS61" s="40"/>
      <c r="AT61" s="40"/>
      <c r="AU61" s="40"/>
      <c r="AV61" s="40">
        <f t="shared" si="58"/>
        <v>1590</v>
      </c>
      <c r="AW61" s="40"/>
      <c r="AX61" s="40">
        <v>460</v>
      </c>
      <c r="AY61" s="40"/>
      <c r="AZ61" s="40"/>
      <c r="BA61" s="40"/>
      <c r="BB61" s="40">
        <f t="shared" si="59"/>
        <v>2050</v>
      </c>
      <c r="BC61" s="40"/>
      <c r="BD61" s="40"/>
      <c r="BE61" s="40"/>
      <c r="BF61" s="40"/>
      <c r="BG61" s="40"/>
      <c r="BH61" s="40">
        <f>SUM(BB61-BC61+BD61-BE61+BF61)</f>
        <v>2050</v>
      </c>
      <c r="BI61" s="40"/>
      <c r="BJ61" s="40"/>
      <c r="BK61" s="40"/>
      <c r="BL61" s="40"/>
      <c r="BM61" s="40"/>
      <c r="BN61" s="40">
        <f t="shared" si="60"/>
        <v>2050</v>
      </c>
      <c r="BO61" s="40"/>
      <c r="BP61" s="40"/>
      <c r="BQ61" s="40"/>
      <c r="BR61" s="40"/>
      <c r="BS61" s="40"/>
      <c r="BT61" s="40">
        <f t="shared" si="61"/>
        <v>2050</v>
      </c>
      <c r="BU61" s="40"/>
      <c r="BV61" s="40"/>
      <c r="BW61" s="40"/>
      <c r="BX61" s="40"/>
      <c r="BY61" s="40"/>
      <c r="BZ61" s="40">
        <f t="shared" si="62"/>
        <v>2050</v>
      </c>
      <c r="CA61" s="40"/>
      <c r="CB61" s="40"/>
      <c r="CC61" s="40"/>
      <c r="CD61" s="40">
        <f t="shared" si="63"/>
        <v>2050</v>
      </c>
    </row>
    <row r="62" spans="1:82" ht="15.75">
      <c r="A62" s="38"/>
      <c r="B62" s="39"/>
      <c r="C62" s="39" t="s">
        <v>352</v>
      </c>
      <c r="D62" s="39"/>
      <c r="E62" s="40"/>
      <c r="F62" s="40"/>
      <c r="G62" s="40"/>
      <c r="H62" s="40">
        <v>120</v>
      </c>
      <c r="I62" s="40"/>
      <c r="J62" s="40"/>
      <c r="K62" s="40"/>
      <c r="L62" s="40">
        <f t="shared" si="52"/>
        <v>120</v>
      </c>
      <c r="M62" s="40"/>
      <c r="N62" s="40">
        <v>50</v>
      </c>
      <c r="O62" s="40"/>
      <c r="P62" s="40"/>
      <c r="Q62" s="40"/>
      <c r="R62" s="40">
        <f t="shared" si="53"/>
        <v>170</v>
      </c>
      <c r="S62" s="40"/>
      <c r="T62" s="40">
        <v>50</v>
      </c>
      <c r="U62" s="40"/>
      <c r="V62" s="40"/>
      <c r="W62" s="40"/>
      <c r="X62" s="40">
        <f t="shared" si="54"/>
        <v>220</v>
      </c>
      <c r="Y62" s="40"/>
      <c r="Z62" s="40">
        <v>20</v>
      </c>
      <c r="AA62" s="40"/>
      <c r="AB62" s="40"/>
      <c r="AC62" s="40"/>
      <c r="AD62" s="40">
        <f t="shared" si="55"/>
        <v>240</v>
      </c>
      <c r="AE62" s="40"/>
      <c r="AF62" s="40">
        <v>120</v>
      </c>
      <c r="AG62" s="40"/>
      <c r="AH62" s="40"/>
      <c r="AI62" s="40"/>
      <c r="AJ62" s="40">
        <f t="shared" si="56"/>
        <v>360</v>
      </c>
      <c r="AK62" s="40"/>
      <c r="AL62" s="40">
        <v>150</v>
      </c>
      <c r="AM62" s="40"/>
      <c r="AN62" s="40"/>
      <c r="AO62" s="40"/>
      <c r="AP62" s="40">
        <f t="shared" si="57"/>
        <v>510</v>
      </c>
      <c r="AQ62" s="40"/>
      <c r="AR62" s="40"/>
      <c r="AS62" s="40"/>
      <c r="AT62" s="40"/>
      <c r="AU62" s="40"/>
      <c r="AV62" s="40">
        <f t="shared" si="58"/>
        <v>510</v>
      </c>
      <c r="AW62" s="40"/>
      <c r="AX62" s="40">
        <v>0</v>
      </c>
      <c r="AY62" s="40"/>
      <c r="AZ62" s="40"/>
      <c r="BA62" s="40"/>
      <c r="BB62" s="40">
        <f t="shared" si="59"/>
        <v>510</v>
      </c>
      <c r="BC62" s="40"/>
      <c r="BD62" s="40"/>
      <c r="BE62" s="40"/>
      <c r="BF62" s="40"/>
      <c r="BG62" s="40"/>
      <c r="BH62" s="40">
        <f>SUM(BB62-BC62+BD62-BE62+BF62)</f>
        <v>510</v>
      </c>
      <c r="BI62" s="40"/>
      <c r="BJ62" s="40"/>
      <c r="BK62" s="40"/>
      <c r="BL62" s="40"/>
      <c r="BM62" s="40"/>
      <c r="BN62" s="40">
        <f t="shared" si="60"/>
        <v>510</v>
      </c>
      <c r="BO62" s="40"/>
      <c r="BP62" s="40"/>
      <c r="BQ62" s="40"/>
      <c r="BR62" s="40"/>
      <c r="BS62" s="40"/>
      <c r="BT62" s="40">
        <f t="shared" si="61"/>
        <v>510</v>
      </c>
      <c r="BU62" s="40"/>
      <c r="BV62" s="40"/>
      <c r="BW62" s="40"/>
      <c r="BX62" s="40"/>
      <c r="BY62" s="40"/>
      <c r="BZ62" s="40">
        <f t="shared" si="62"/>
        <v>510</v>
      </c>
      <c r="CA62" s="40"/>
      <c r="CB62" s="40"/>
      <c r="CC62" s="40"/>
      <c r="CD62" s="40">
        <f t="shared" si="63"/>
        <v>510</v>
      </c>
    </row>
    <row r="63" spans="1:82" ht="15.75">
      <c r="A63" s="38"/>
      <c r="B63" s="39"/>
      <c r="C63" s="39" t="s">
        <v>60</v>
      </c>
      <c r="D63" s="39"/>
      <c r="E63" s="40"/>
      <c r="F63" s="40"/>
      <c r="G63" s="40"/>
      <c r="H63" s="40">
        <v>20</v>
      </c>
      <c r="I63" s="40"/>
      <c r="J63" s="40"/>
      <c r="K63" s="40"/>
      <c r="L63" s="40">
        <f t="shared" si="52"/>
        <v>20</v>
      </c>
      <c r="M63" s="40"/>
      <c r="N63" s="40">
        <v>20</v>
      </c>
      <c r="O63" s="40"/>
      <c r="P63" s="40"/>
      <c r="Q63" s="40"/>
      <c r="R63" s="40">
        <f t="shared" si="53"/>
        <v>40</v>
      </c>
      <c r="S63" s="40"/>
      <c r="T63" s="40"/>
      <c r="U63" s="40"/>
      <c r="V63" s="40"/>
      <c r="W63" s="40"/>
      <c r="X63" s="40">
        <f t="shared" si="54"/>
        <v>40</v>
      </c>
      <c r="Y63" s="40"/>
      <c r="Z63" s="40">
        <v>100</v>
      </c>
      <c r="AA63" s="40"/>
      <c r="AB63" s="40"/>
      <c r="AC63" s="40"/>
      <c r="AD63" s="40">
        <f t="shared" si="55"/>
        <v>140</v>
      </c>
      <c r="AE63" s="40"/>
      <c r="AF63" s="40"/>
      <c r="AG63" s="40"/>
      <c r="AH63" s="40"/>
      <c r="AI63" s="40"/>
      <c r="AJ63" s="40">
        <f t="shared" si="56"/>
        <v>140</v>
      </c>
      <c r="AK63" s="40"/>
      <c r="AL63" s="40">
        <v>40</v>
      </c>
      <c r="AM63" s="40"/>
      <c r="AN63" s="40"/>
      <c r="AO63" s="40"/>
      <c r="AP63" s="40">
        <f t="shared" si="57"/>
        <v>180</v>
      </c>
      <c r="AQ63" s="40"/>
      <c r="AR63" s="40">
        <v>20</v>
      </c>
      <c r="AS63" s="40"/>
      <c r="AT63" s="40"/>
      <c r="AU63" s="40"/>
      <c r="AV63" s="40">
        <f t="shared" si="58"/>
        <v>200</v>
      </c>
      <c r="AW63" s="40"/>
      <c r="AX63" s="40">
        <v>0</v>
      </c>
      <c r="AY63" s="40"/>
      <c r="AZ63" s="40"/>
      <c r="BA63" s="40"/>
      <c r="BB63" s="40">
        <f t="shared" si="59"/>
        <v>200</v>
      </c>
      <c r="BC63" s="40"/>
      <c r="BD63" s="40"/>
      <c r="BE63" s="40"/>
      <c r="BF63" s="40"/>
      <c r="BG63" s="40"/>
      <c r="BH63" s="40">
        <f aca="true" t="shared" si="64" ref="BH63:BH69">SUM(BB63-BC63+BD63-BE63+BF63)</f>
        <v>200</v>
      </c>
      <c r="BI63" s="40"/>
      <c r="BJ63" s="40"/>
      <c r="BK63" s="40"/>
      <c r="BL63" s="40"/>
      <c r="BM63" s="40"/>
      <c r="BN63" s="40">
        <f t="shared" si="60"/>
        <v>200</v>
      </c>
      <c r="BO63" s="40"/>
      <c r="BP63" s="40"/>
      <c r="BQ63" s="40"/>
      <c r="BR63" s="40"/>
      <c r="BS63" s="40"/>
      <c r="BT63" s="40">
        <f t="shared" si="61"/>
        <v>200</v>
      </c>
      <c r="BU63" s="40"/>
      <c r="BV63" s="40"/>
      <c r="BW63" s="40"/>
      <c r="BX63" s="40"/>
      <c r="BY63" s="40"/>
      <c r="BZ63" s="40">
        <f t="shared" si="62"/>
        <v>200</v>
      </c>
      <c r="CA63" s="40"/>
      <c r="CB63" s="40"/>
      <c r="CC63" s="40"/>
      <c r="CD63" s="40">
        <f t="shared" si="63"/>
        <v>200</v>
      </c>
    </row>
    <row r="64" spans="1:82" ht="15.75">
      <c r="A64" s="38"/>
      <c r="B64" s="39"/>
      <c r="C64" s="39" t="s">
        <v>61</v>
      </c>
      <c r="D64" s="39"/>
      <c r="E64" s="40"/>
      <c r="F64" s="40"/>
      <c r="G64" s="40"/>
      <c r="H64" s="40">
        <v>0</v>
      </c>
      <c r="I64" s="40"/>
      <c r="J64" s="40"/>
      <c r="K64" s="40"/>
      <c r="L64" s="40">
        <f t="shared" si="52"/>
        <v>0</v>
      </c>
      <c r="M64" s="40"/>
      <c r="N64" s="40"/>
      <c r="O64" s="40"/>
      <c r="P64" s="40"/>
      <c r="Q64" s="40"/>
      <c r="R64" s="40">
        <f t="shared" si="53"/>
        <v>0</v>
      </c>
      <c r="S64" s="40"/>
      <c r="T64" s="40">
        <v>0</v>
      </c>
      <c r="U64" s="40"/>
      <c r="V64" s="40"/>
      <c r="W64" s="40"/>
      <c r="X64" s="40">
        <f t="shared" si="54"/>
        <v>0</v>
      </c>
      <c r="Y64" s="40"/>
      <c r="Z64" s="40">
        <v>0</v>
      </c>
      <c r="AA64" s="40"/>
      <c r="AB64" s="40"/>
      <c r="AC64" s="40"/>
      <c r="AD64" s="40">
        <f t="shared" si="55"/>
        <v>0</v>
      </c>
      <c r="AE64" s="40"/>
      <c r="AF64" s="203"/>
      <c r="AG64" s="40"/>
      <c r="AH64" s="40"/>
      <c r="AI64" s="40"/>
      <c r="AJ64" s="40">
        <f t="shared" si="56"/>
        <v>0</v>
      </c>
      <c r="AK64" s="40"/>
      <c r="AL64" s="40"/>
      <c r="AM64" s="40"/>
      <c r="AN64" s="40"/>
      <c r="AO64" s="40"/>
      <c r="AP64" s="40">
        <f t="shared" si="57"/>
        <v>0</v>
      </c>
      <c r="AQ64" s="40"/>
      <c r="AR64" s="40"/>
      <c r="AS64" s="40"/>
      <c r="AT64" s="40"/>
      <c r="AU64" s="40"/>
      <c r="AV64" s="40">
        <f t="shared" si="58"/>
        <v>0</v>
      </c>
      <c r="AW64" s="40"/>
      <c r="AX64" s="40">
        <v>0</v>
      </c>
      <c r="AY64" s="40"/>
      <c r="AZ64" s="40"/>
      <c r="BA64" s="40"/>
      <c r="BB64" s="40">
        <f t="shared" si="59"/>
        <v>0</v>
      </c>
      <c r="BC64" s="40"/>
      <c r="BD64" s="40"/>
      <c r="BE64" s="40"/>
      <c r="BF64" s="40"/>
      <c r="BG64" s="40"/>
      <c r="BH64" s="40">
        <f t="shared" si="64"/>
        <v>0</v>
      </c>
      <c r="BI64" s="40"/>
      <c r="BJ64" s="40"/>
      <c r="BK64" s="40"/>
      <c r="BL64" s="40"/>
      <c r="BM64" s="40"/>
      <c r="BN64" s="40">
        <f t="shared" si="60"/>
        <v>0</v>
      </c>
      <c r="BO64" s="40"/>
      <c r="BP64" s="40"/>
      <c r="BQ64" s="40"/>
      <c r="BR64" s="40"/>
      <c r="BS64" s="40"/>
      <c r="BT64" s="40">
        <f t="shared" si="61"/>
        <v>0</v>
      </c>
      <c r="BU64" s="40"/>
      <c r="BV64" s="40"/>
      <c r="BW64" s="40"/>
      <c r="BX64" s="40"/>
      <c r="BY64" s="40"/>
      <c r="BZ64" s="40">
        <f t="shared" si="62"/>
        <v>0</v>
      </c>
      <c r="CA64" s="40"/>
      <c r="CB64" s="40"/>
      <c r="CC64" s="40"/>
      <c r="CD64" s="17">
        <f t="shared" si="63"/>
        <v>0</v>
      </c>
    </row>
    <row r="65" spans="1:82" ht="15.75">
      <c r="A65" s="38"/>
      <c r="B65" s="39"/>
      <c r="C65" s="39" t="s">
        <v>25</v>
      </c>
      <c r="D65" s="39"/>
      <c r="E65" s="40"/>
      <c r="F65" s="40"/>
      <c r="G65" s="40"/>
      <c r="H65" s="40">
        <v>2800</v>
      </c>
      <c r="I65" s="40"/>
      <c r="J65" s="40"/>
      <c r="K65" s="40"/>
      <c r="L65" s="40">
        <f t="shared" si="52"/>
        <v>2800</v>
      </c>
      <c r="M65" s="40"/>
      <c r="N65" s="40"/>
      <c r="O65" s="40"/>
      <c r="P65" s="40"/>
      <c r="Q65" s="40"/>
      <c r="R65" s="40">
        <f t="shared" si="53"/>
        <v>2800</v>
      </c>
      <c r="S65" s="40"/>
      <c r="T65" s="40">
        <v>22446</v>
      </c>
      <c r="U65" s="40"/>
      <c r="V65" s="40"/>
      <c r="W65" s="40"/>
      <c r="X65" s="40">
        <f t="shared" si="54"/>
        <v>25246</v>
      </c>
      <c r="Y65" s="40"/>
      <c r="Z65" s="40">
        <v>26352</v>
      </c>
      <c r="AA65" s="40"/>
      <c r="AB65" s="40"/>
      <c r="AC65" s="40"/>
      <c r="AD65" s="40">
        <f t="shared" si="55"/>
        <v>51598</v>
      </c>
      <c r="AE65" s="40"/>
      <c r="AF65" s="84"/>
      <c r="AG65" s="40"/>
      <c r="AH65" s="40"/>
      <c r="AI65" s="40"/>
      <c r="AJ65" s="40">
        <f t="shared" si="56"/>
        <v>51598</v>
      </c>
      <c r="AK65" s="40"/>
      <c r="AL65" s="40">
        <v>800</v>
      </c>
      <c r="AM65" s="40"/>
      <c r="AN65" s="40"/>
      <c r="AO65" s="40"/>
      <c r="AP65" s="40">
        <f t="shared" si="57"/>
        <v>52398</v>
      </c>
      <c r="AQ65" s="40"/>
      <c r="AR65" s="40"/>
      <c r="AS65" s="40"/>
      <c r="AT65" s="40"/>
      <c r="AU65" s="40"/>
      <c r="AV65" s="40">
        <f t="shared" si="58"/>
        <v>52398</v>
      </c>
      <c r="AW65" s="40"/>
      <c r="AX65" s="40">
        <v>0</v>
      </c>
      <c r="AY65" s="40"/>
      <c r="AZ65" s="40"/>
      <c r="BA65" s="40"/>
      <c r="BB65" s="40">
        <f t="shared" si="59"/>
        <v>52398</v>
      </c>
      <c r="BC65" s="40"/>
      <c r="BD65" s="40"/>
      <c r="BE65" s="40"/>
      <c r="BF65" s="40"/>
      <c r="BG65" s="40"/>
      <c r="BH65" s="40">
        <f t="shared" si="64"/>
        <v>52398</v>
      </c>
      <c r="BI65" s="40"/>
      <c r="BJ65" s="40"/>
      <c r="BK65" s="40"/>
      <c r="BL65" s="40"/>
      <c r="BM65" s="40"/>
      <c r="BN65" s="40">
        <f t="shared" si="60"/>
        <v>52398</v>
      </c>
      <c r="BO65" s="40"/>
      <c r="BP65" s="40"/>
      <c r="BQ65" s="40"/>
      <c r="BR65" s="40"/>
      <c r="BS65" s="40"/>
      <c r="BT65" s="40">
        <f>SUM(BN65-BO65+BP65-BQ65+BR65)</f>
        <v>52398</v>
      </c>
      <c r="BU65" s="40"/>
      <c r="BV65" s="40"/>
      <c r="BW65" s="40"/>
      <c r="BX65" s="40"/>
      <c r="BY65" s="40"/>
      <c r="BZ65" s="40">
        <f t="shared" si="62"/>
        <v>52398</v>
      </c>
      <c r="CA65" s="40"/>
      <c r="CB65" s="40"/>
      <c r="CC65" s="40"/>
      <c r="CD65" s="40">
        <f>+BZ65+CB65-CA65</f>
        <v>52398</v>
      </c>
    </row>
    <row r="66" spans="1:82" ht="15.75">
      <c r="A66" s="38"/>
      <c r="B66" s="39"/>
      <c r="C66" s="39" t="s">
        <v>339</v>
      </c>
      <c r="D66" s="39"/>
      <c r="E66" s="40"/>
      <c r="F66" s="40"/>
      <c r="G66" s="40"/>
      <c r="H66" s="40">
        <v>0</v>
      </c>
      <c r="I66" s="40"/>
      <c r="J66" s="40"/>
      <c r="K66" s="40"/>
      <c r="L66" s="40">
        <f t="shared" si="52"/>
        <v>0</v>
      </c>
      <c r="M66" s="40"/>
      <c r="N66" s="40">
        <v>200</v>
      </c>
      <c r="O66" s="40"/>
      <c r="P66" s="40"/>
      <c r="Q66" s="40"/>
      <c r="R66" s="40">
        <f t="shared" si="53"/>
        <v>200</v>
      </c>
      <c r="S66" s="40"/>
      <c r="T66" s="40">
        <v>0</v>
      </c>
      <c r="U66" s="40"/>
      <c r="V66" s="40"/>
      <c r="W66" s="40"/>
      <c r="X66" s="40">
        <f t="shared" si="54"/>
        <v>200</v>
      </c>
      <c r="Y66" s="40"/>
      <c r="Z66" s="40">
        <v>0</v>
      </c>
      <c r="AA66" s="40"/>
      <c r="AB66" s="40"/>
      <c r="AC66" s="40"/>
      <c r="AD66" s="40">
        <f t="shared" si="55"/>
        <v>200</v>
      </c>
      <c r="AE66" s="40"/>
      <c r="AF66" s="203">
        <v>1200</v>
      </c>
      <c r="AG66" s="40"/>
      <c r="AH66" s="40"/>
      <c r="AI66" s="40"/>
      <c r="AJ66" s="40">
        <f t="shared" si="56"/>
        <v>1400</v>
      </c>
      <c r="AK66" s="40"/>
      <c r="AL66" s="40">
        <v>200</v>
      </c>
      <c r="AM66" s="40"/>
      <c r="AN66" s="40"/>
      <c r="AO66" s="40"/>
      <c r="AP66" s="40">
        <f t="shared" si="57"/>
        <v>1600</v>
      </c>
      <c r="AQ66" s="40"/>
      <c r="AR66" s="40"/>
      <c r="AS66" s="40"/>
      <c r="AT66" s="40"/>
      <c r="AU66" s="40"/>
      <c r="AV66" s="40">
        <f t="shared" si="58"/>
        <v>1600</v>
      </c>
      <c r="AW66" s="40"/>
      <c r="AX66" s="40">
        <v>0</v>
      </c>
      <c r="AY66" s="40"/>
      <c r="AZ66" s="40"/>
      <c r="BA66" s="40"/>
      <c r="BB66" s="40">
        <f t="shared" si="59"/>
        <v>1600</v>
      </c>
      <c r="BC66" s="40"/>
      <c r="BD66" s="40"/>
      <c r="BE66" s="40"/>
      <c r="BF66" s="40"/>
      <c r="BG66" s="40"/>
      <c r="BH66" s="40">
        <f t="shared" si="64"/>
        <v>1600</v>
      </c>
      <c r="BI66" s="40"/>
      <c r="BJ66" s="40"/>
      <c r="BK66" s="40"/>
      <c r="BL66" s="40"/>
      <c r="BM66" s="40"/>
      <c r="BN66" s="40">
        <f t="shared" si="60"/>
        <v>1600</v>
      </c>
      <c r="BO66" s="40"/>
      <c r="BP66" s="40"/>
      <c r="BQ66" s="40"/>
      <c r="BR66" s="40"/>
      <c r="BS66" s="40"/>
      <c r="BT66" s="40">
        <f t="shared" si="61"/>
        <v>1600</v>
      </c>
      <c r="BU66" s="40"/>
      <c r="BV66" s="40"/>
      <c r="BW66" s="40"/>
      <c r="BX66" s="40"/>
      <c r="BY66" s="40"/>
      <c r="BZ66" s="40">
        <f t="shared" si="62"/>
        <v>1600</v>
      </c>
      <c r="CA66" s="40"/>
      <c r="CB66" s="40"/>
      <c r="CC66" s="40"/>
      <c r="CD66" s="40">
        <f>+BZ66+CB66-CA66</f>
        <v>1600</v>
      </c>
    </row>
    <row r="67" spans="1:82" ht="15.75">
      <c r="A67" s="38"/>
      <c r="B67" s="39"/>
      <c r="C67" s="39" t="s">
        <v>353</v>
      </c>
      <c r="D67" s="39"/>
      <c r="E67" s="40"/>
      <c r="F67" s="40"/>
      <c r="G67" s="40"/>
      <c r="H67" s="40">
        <v>0</v>
      </c>
      <c r="I67" s="40"/>
      <c r="J67" s="40"/>
      <c r="K67" s="40"/>
      <c r="L67" s="40">
        <f t="shared" si="52"/>
        <v>0</v>
      </c>
      <c r="M67" s="40"/>
      <c r="N67" s="40">
        <v>250</v>
      </c>
      <c r="O67" s="40"/>
      <c r="P67" s="40"/>
      <c r="Q67" s="40"/>
      <c r="R67" s="40">
        <f t="shared" si="53"/>
        <v>250</v>
      </c>
      <c r="S67" s="40"/>
      <c r="T67" s="40">
        <v>0</v>
      </c>
      <c r="U67" s="40"/>
      <c r="V67" s="40"/>
      <c r="W67" s="40"/>
      <c r="X67" s="40">
        <f t="shared" si="54"/>
        <v>250</v>
      </c>
      <c r="Y67" s="40"/>
      <c r="Z67" s="40">
        <v>250</v>
      </c>
      <c r="AA67" s="40"/>
      <c r="AB67" s="40"/>
      <c r="AC67" s="40"/>
      <c r="AD67" s="40">
        <f t="shared" si="55"/>
        <v>500</v>
      </c>
      <c r="AE67" s="40"/>
      <c r="AF67" s="203"/>
      <c r="AG67" s="40"/>
      <c r="AH67" s="40"/>
      <c r="AI67" s="40"/>
      <c r="AJ67" s="40">
        <f t="shared" si="56"/>
        <v>500</v>
      </c>
      <c r="AK67" s="40"/>
      <c r="AL67" s="40"/>
      <c r="AM67" s="40"/>
      <c r="AN67" s="40"/>
      <c r="AO67" s="40"/>
      <c r="AP67" s="40">
        <f t="shared" si="57"/>
        <v>500</v>
      </c>
      <c r="AQ67" s="40"/>
      <c r="AR67" s="40"/>
      <c r="AS67" s="40"/>
      <c r="AT67" s="40"/>
      <c r="AU67" s="40"/>
      <c r="AV67" s="40">
        <f t="shared" si="58"/>
        <v>500</v>
      </c>
      <c r="AW67" s="40"/>
      <c r="AX67" s="40">
        <v>0</v>
      </c>
      <c r="AY67" s="40"/>
      <c r="AZ67" s="40"/>
      <c r="BA67" s="40"/>
      <c r="BB67" s="40">
        <f t="shared" si="59"/>
        <v>500</v>
      </c>
      <c r="BC67" s="40"/>
      <c r="BD67" s="40"/>
      <c r="BE67" s="40"/>
      <c r="BF67" s="40"/>
      <c r="BG67" s="40"/>
      <c r="BH67" s="40">
        <f t="shared" si="64"/>
        <v>500</v>
      </c>
      <c r="BI67" s="40"/>
      <c r="BJ67" s="40"/>
      <c r="BK67" s="40"/>
      <c r="BL67" s="40"/>
      <c r="BM67" s="40"/>
      <c r="BN67" s="40">
        <f t="shared" si="60"/>
        <v>500</v>
      </c>
      <c r="BO67" s="40"/>
      <c r="BP67" s="40"/>
      <c r="BQ67" s="40"/>
      <c r="BR67" s="40"/>
      <c r="BS67" s="40"/>
      <c r="BT67" s="40">
        <f t="shared" si="61"/>
        <v>500</v>
      </c>
      <c r="BU67" s="40"/>
      <c r="BV67" s="40"/>
      <c r="BW67" s="40"/>
      <c r="BX67" s="40"/>
      <c r="BY67" s="40"/>
      <c r="BZ67" s="40">
        <f t="shared" si="62"/>
        <v>500</v>
      </c>
      <c r="CA67" s="40"/>
      <c r="CB67" s="40"/>
      <c r="CC67" s="40"/>
      <c r="CD67" s="40">
        <f>+BZ67+CB67-CA67</f>
        <v>500</v>
      </c>
    </row>
    <row r="68" spans="1:82" ht="15.75">
      <c r="A68" s="38"/>
      <c r="B68" s="39"/>
      <c r="C68" s="39" t="s">
        <v>354</v>
      </c>
      <c r="D68" s="39"/>
      <c r="E68" s="40"/>
      <c r="F68" s="40"/>
      <c r="G68" s="40"/>
      <c r="H68" s="40">
        <v>0</v>
      </c>
      <c r="I68" s="40"/>
      <c r="J68" s="40"/>
      <c r="K68" s="40"/>
      <c r="L68" s="40">
        <f t="shared" si="52"/>
        <v>0</v>
      </c>
      <c r="M68" s="40"/>
      <c r="N68" s="40"/>
      <c r="O68" s="40"/>
      <c r="P68" s="40"/>
      <c r="Q68" s="40"/>
      <c r="R68" s="40">
        <f t="shared" si="53"/>
        <v>0</v>
      </c>
      <c r="S68" s="40"/>
      <c r="T68" s="40">
        <v>0</v>
      </c>
      <c r="U68" s="40"/>
      <c r="V68" s="40"/>
      <c r="W68" s="40"/>
      <c r="X68" s="40">
        <f t="shared" si="54"/>
        <v>0</v>
      </c>
      <c r="Y68" s="40"/>
      <c r="Z68" s="40">
        <v>0</v>
      </c>
      <c r="AA68" s="40"/>
      <c r="AB68" s="40"/>
      <c r="AC68" s="40"/>
      <c r="AD68" s="40">
        <f t="shared" si="55"/>
        <v>0</v>
      </c>
      <c r="AE68" s="40"/>
      <c r="AF68" s="203"/>
      <c r="AG68" s="40"/>
      <c r="AH68" s="40"/>
      <c r="AI68" s="40"/>
      <c r="AJ68" s="40">
        <f t="shared" si="56"/>
        <v>0</v>
      </c>
      <c r="AK68" s="40"/>
      <c r="AL68" s="40"/>
      <c r="AM68" s="40"/>
      <c r="AN68" s="40"/>
      <c r="AO68" s="40"/>
      <c r="AP68" s="40">
        <f t="shared" si="57"/>
        <v>0</v>
      </c>
      <c r="AQ68" s="40"/>
      <c r="AR68" s="40"/>
      <c r="AS68" s="40"/>
      <c r="AT68" s="40"/>
      <c r="AU68" s="40"/>
      <c r="AV68" s="40">
        <f t="shared" si="58"/>
        <v>0</v>
      </c>
      <c r="AW68" s="40"/>
      <c r="AX68" s="40">
        <v>3200</v>
      </c>
      <c r="AY68" s="40"/>
      <c r="AZ68" s="40"/>
      <c r="BA68" s="40"/>
      <c r="BB68" s="40">
        <f t="shared" si="59"/>
        <v>3200</v>
      </c>
      <c r="BC68" s="40"/>
      <c r="BD68" s="40"/>
      <c r="BE68" s="40"/>
      <c r="BF68" s="40"/>
      <c r="BG68" s="40"/>
      <c r="BH68" s="40">
        <f t="shared" si="64"/>
        <v>3200</v>
      </c>
      <c r="BI68" s="40"/>
      <c r="BJ68" s="40"/>
      <c r="BK68" s="40"/>
      <c r="BL68" s="40"/>
      <c r="BM68" s="40"/>
      <c r="BN68" s="40">
        <f t="shared" si="60"/>
        <v>3200</v>
      </c>
      <c r="BO68" s="40"/>
      <c r="BP68" s="40"/>
      <c r="BQ68" s="40"/>
      <c r="BR68" s="40"/>
      <c r="BS68" s="40"/>
      <c r="BT68" s="40">
        <f t="shared" si="61"/>
        <v>3200</v>
      </c>
      <c r="BU68" s="40"/>
      <c r="BV68" s="40"/>
      <c r="BW68" s="40"/>
      <c r="BX68" s="40"/>
      <c r="BY68" s="40"/>
      <c r="BZ68" s="40">
        <f t="shared" si="62"/>
        <v>3200</v>
      </c>
      <c r="CA68" s="40"/>
      <c r="CB68" s="40"/>
      <c r="CC68" s="40"/>
      <c r="CD68" s="40">
        <f>+BZ68+CB68-CA68</f>
        <v>3200</v>
      </c>
    </row>
    <row r="69" spans="1:82" ht="15.75" hidden="1">
      <c r="A69" s="71"/>
      <c r="B69" s="72"/>
      <c r="C69" s="72" t="s">
        <v>355</v>
      </c>
      <c r="D69" s="72"/>
      <c r="E69" s="56"/>
      <c r="F69" s="56"/>
      <c r="G69" s="56"/>
      <c r="H69" s="56">
        <v>0</v>
      </c>
      <c r="I69" s="56"/>
      <c r="J69" s="56"/>
      <c r="K69" s="56"/>
      <c r="L69" s="56">
        <f t="shared" si="52"/>
        <v>0</v>
      </c>
      <c r="M69" s="56"/>
      <c r="N69" s="56"/>
      <c r="O69" s="56"/>
      <c r="P69" s="56"/>
      <c r="Q69" s="56"/>
      <c r="R69" s="56">
        <f t="shared" si="53"/>
        <v>0</v>
      </c>
      <c r="S69" s="56"/>
      <c r="T69" s="56">
        <v>0</v>
      </c>
      <c r="U69" s="56"/>
      <c r="V69" s="56"/>
      <c r="W69" s="56"/>
      <c r="X69" s="56">
        <f t="shared" si="54"/>
        <v>0</v>
      </c>
      <c r="Y69" s="56"/>
      <c r="Z69" s="56">
        <v>0</v>
      </c>
      <c r="AA69" s="56"/>
      <c r="AB69" s="56"/>
      <c r="AC69" s="56"/>
      <c r="AD69" s="56">
        <f t="shared" si="55"/>
        <v>0</v>
      </c>
      <c r="AE69" s="56"/>
      <c r="AF69" s="206"/>
      <c r="AG69" s="56"/>
      <c r="AH69" s="56"/>
      <c r="AI69" s="56"/>
      <c r="AJ69" s="56">
        <f t="shared" si="56"/>
        <v>0</v>
      </c>
      <c r="AK69" s="56"/>
      <c r="AL69" s="56"/>
      <c r="AM69" s="56"/>
      <c r="AN69" s="56"/>
      <c r="AO69" s="56"/>
      <c r="AP69" s="56">
        <f t="shared" si="57"/>
        <v>0</v>
      </c>
      <c r="AQ69" s="56"/>
      <c r="AR69" s="56"/>
      <c r="AS69" s="56"/>
      <c r="AT69" s="56"/>
      <c r="AU69" s="56"/>
      <c r="AV69" s="56">
        <f t="shared" si="58"/>
        <v>0</v>
      </c>
      <c r="AW69" s="56"/>
      <c r="AX69" s="56"/>
      <c r="AY69" s="56"/>
      <c r="AZ69" s="56"/>
      <c r="BA69" s="56"/>
      <c r="BB69" s="56">
        <f t="shared" si="59"/>
        <v>0</v>
      </c>
      <c r="BC69" s="56"/>
      <c r="BD69" s="56"/>
      <c r="BE69" s="56"/>
      <c r="BF69" s="56"/>
      <c r="BG69" s="56"/>
      <c r="BH69" s="56">
        <f t="shared" si="64"/>
        <v>0</v>
      </c>
      <c r="BI69" s="56"/>
      <c r="BJ69" s="56"/>
      <c r="BK69" s="56"/>
      <c r="BL69" s="56"/>
      <c r="BM69" s="56"/>
      <c r="BN69" s="56">
        <f t="shared" si="60"/>
        <v>0</v>
      </c>
      <c r="BO69" s="56"/>
      <c r="BP69" s="56"/>
      <c r="BQ69" s="56"/>
      <c r="BR69" s="56"/>
      <c r="BS69" s="56"/>
      <c r="BT69" s="56">
        <f t="shared" si="61"/>
        <v>0</v>
      </c>
      <c r="BU69" s="56"/>
      <c r="BV69" s="56"/>
      <c r="BW69" s="56"/>
      <c r="BX69" s="56"/>
      <c r="BY69" s="56"/>
      <c r="BZ69" s="56">
        <f t="shared" si="62"/>
        <v>0</v>
      </c>
      <c r="CA69" s="56">
        <v>0</v>
      </c>
      <c r="CB69" s="56"/>
      <c r="CC69" s="56"/>
      <c r="CD69" s="17">
        <f>+BZ69+CB69-CA69</f>
        <v>0</v>
      </c>
    </row>
    <row r="70" spans="1:84" s="72" customFormat="1" ht="15.75">
      <c r="A70" s="41"/>
      <c r="B70" s="42"/>
      <c r="C70" s="42"/>
      <c r="D70" s="42"/>
      <c r="E70" s="43"/>
      <c r="F70" s="43"/>
      <c r="G70" s="43"/>
      <c r="H70" s="43"/>
      <c r="I70" s="43"/>
      <c r="J70" s="43"/>
      <c r="K70" s="43"/>
      <c r="L70" s="56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204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6"/>
      <c r="CA70" s="43"/>
      <c r="CB70" s="43"/>
      <c r="CC70" s="43"/>
      <c r="CD70" s="56"/>
      <c r="CE70" s="144"/>
      <c r="CF70" s="144"/>
    </row>
    <row r="71" spans="1:84" s="168" customFormat="1" ht="15.75">
      <c r="A71" s="163"/>
      <c r="B71" s="164" t="s">
        <v>97</v>
      </c>
      <c r="C71" s="164"/>
      <c r="D71" s="164"/>
      <c r="E71" s="165">
        <f aca="true" t="shared" si="65" ref="E71:N71">SUM(E72:E74)</f>
        <v>0</v>
      </c>
      <c r="F71" s="165">
        <f t="shared" si="65"/>
        <v>0</v>
      </c>
      <c r="G71" s="165">
        <f t="shared" si="65"/>
        <v>0</v>
      </c>
      <c r="H71" s="165">
        <f t="shared" si="65"/>
        <v>0</v>
      </c>
      <c r="I71" s="165">
        <f t="shared" si="65"/>
        <v>0</v>
      </c>
      <c r="J71" s="165">
        <f t="shared" si="65"/>
        <v>0</v>
      </c>
      <c r="K71" s="165">
        <f t="shared" si="65"/>
        <v>0</v>
      </c>
      <c r="L71" s="165">
        <f>SUM(L72:L74)</f>
        <v>0</v>
      </c>
      <c r="M71" s="165">
        <f t="shared" si="65"/>
        <v>0</v>
      </c>
      <c r="N71" s="165">
        <f t="shared" si="65"/>
        <v>0</v>
      </c>
      <c r="O71" s="165"/>
      <c r="P71" s="165"/>
      <c r="Q71" s="165">
        <f>SUM(Q72:Q74)</f>
        <v>0</v>
      </c>
      <c r="R71" s="165">
        <f>SUM(R72:R74)</f>
        <v>0</v>
      </c>
      <c r="S71" s="165">
        <f>SUM(S72:S74)</f>
        <v>0</v>
      </c>
      <c r="T71" s="165">
        <f>SUM(T72:T74)</f>
        <v>107996.91</v>
      </c>
      <c r="U71" s="165"/>
      <c r="V71" s="165"/>
      <c r="W71" s="165">
        <f>SUM(W72:W74)</f>
        <v>0</v>
      </c>
      <c r="X71" s="165">
        <f>SUM(X72:X74)</f>
        <v>107996.91</v>
      </c>
      <c r="Y71" s="165">
        <f>SUM(Y72:Y74)</f>
        <v>0</v>
      </c>
      <c r="Z71" s="165">
        <f>SUM(Z72:Z74)</f>
        <v>0</v>
      </c>
      <c r="AA71" s="165"/>
      <c r="AB71" s="165"/>
      <c r="AC71" s="165">
        <f>SUM(AC72:AC74)</f>
        <v>0</v>
      </c>
      <c r="AD71" s="165">
        <f>SUM(AD72:AD74)</f>
        <v>107996.91</v>
      </c>
      <c r="AE71" s="165">
        <f>SUM(AE72:AE74)</f>
        <v>0</v>
      </c>
      <c r="AF71" s="205">
        <f>SUM(AF72:AF74)</f>
        <v>0</v>
      </c>
      <c r="AG71" s="165"/>
      <c r="AH71" s="165"/>
      <c r="AI71" s="165">
        <f>SUM(AI72:AI74)</f>
        <v>0</v>
      </c>
      <c r="AJ71" s="165">
        <f>SUM(AJ72:AJ74)</f>
        <v>107996.91</v>
      </c>
      <c r="AK71" s="165">
        <f>SUM(AK72:AK74)</f>
        <v>0</v>
      </c>
      <c r="AL71" s="165">
        <f>SUM(AL72:AL74)</f>
        <v>10461.79</v>
      </c>
      <c r="AM71" s="166"/>
      <c r="AN71" s="166"/>
      <c r="AO71" s="165">
        <f>SUM(AO72:AO74)</f>
        <v>0</v>
      </c>
      <c r="AP71" s="165">
        <f>SUM(AP72:AP74)</f>
        <v>118458.70000000001</v>
      </c>
      <c r="AQ71" s="165">
        <f>SUM(AQ72:AQ74)</f>
        <v>0</v>
      </c>
      <c r="AR71" s="165">
        <f>SUM(AR72:AR74)</f>
        <v>0</v>
      </c>
      <c r="AS71" s="165"/>
      <c r="AT71" s="165"/>
      <c r="AU71" s="165">
        <f aca="true" t="shared" si="66" ref="AU71:BD71">SUM(AU72:AU74)</f>
        <v>0</v>
      </c>
      <c r="AV71" s="165">
        <f>SUM(AV72:AV74)</f>
        <v>118458.70000000001</v>
      </c>
      <c r="AW71" s="165">
        <f t="shared" si="66"/>
        <v>0</v>
      </c>
      <c r="AX71" s="165">
        <f t="shared" si="66"/>
        <v>0</v>
      </c>
      <c r="AY71" s="165">
        <f t="shared" si="66"/>
        <v>0</v>
      </c>
      <c r="AZ71" s="165">
        <f t="shared" si="66"/>
        <v>0</v>
      </c>
      <c r="BA71" s="165">
        <f t="shared" si="66"/>
        <v>0</v>
      </c>
      <c r="BB71" s="165">
        <f>SUM(BB72:BB74)</f>
        <v>118458.70000000001</v>
      </c>
      <c r="BC71" s="165">
        <f t="shared" si="66"/>
        <v>0</v>
      </c>
      <c r="BD71" s="165">
        <f t="shared" si="66"/>
        <v>0</v>
      </c>
      <c r="BE71" s="165"/>
      <c r="BF71" s="165"/>
      <c r="BG71" s="165">
        <f>SUM(BG72:BG74)</f>
        <v>0</v>
      </c>
      <c r="BH71" s="165">
        <f>SUM(BH72:BH74)</f>
        <v>118458.70000000001</v>
      </c>
      <c r="BI71" s="165">
        <f>SUM(BI72:BI74)</f>
        <v>0</v>
      </c>
      <c r="BJ71" s="165">
        <f>SUM(BJ72:BJ74)</f>
        <v>0</v>
      </c>
      <c r="BK71" s="165"/>
      <c r="BL71" s="165"/>
      <c r="BM71" s="165">
        <f>SUM(BM72:BM74)</f>
        <v>0</v>
      </c>
      <c r="BN71" s="165">
        <f>SUM(BN72:BN74)</f>
        <v>118458.70000000001</v>
      </c>
      <c r="BO71" s="165">
        <f>SUM(BO72:BO74)</f>
        <v>0</v>
      </c>
      <c r="BP71" s="165">
        <f>SUM(BP72:BP74)</f>
        <v>0</v>
      </c>
      <c r="BQ71" s="165"/>
      <c r="BR71" s="165"/>
      <c r="BS71" s="165">
        <f>SUM(BS72:BS74)</f>
        <v>0</v>
      </c>
      <c r="BT71" s="165">
        <f>SUM(BT72:BT74)</f>
        <v>118458.70000000001</v>
      </c>
      <c r="BU71" s="165">
        <f>SUM(BU72:BU74)</f>
        <v>0</v>
      </c>
      <c r="BV71" s="165">
        <f>SUM(BV72:BV74)</f>
        <v>0</v>
      </c>
      <c r="BW71" s="165"/>
      <c r="BX71" s="165"/>
      <c r="BY71" s="165">
        <f>SUM(BY72:BY74)</f>
        <v>0</v>
      </c>
      <c r="BZ71" s="165">
        <f>SUM(BZ72:BZ74)</f>
        <v>118458.70000000001</v>
      </c>
      <c r="CA71" s="166">
        <f>SUM(CA72:CA74)</f>
        <v>0</v>
      </c>
      <c r="CB71" s="166">
        <f>SUM(CB72:CB74)</f>
        <v>0</v>
      </c>
      <c r="CC71" s="165">
        <f>SUM(CC72:CC74)</f>
        <v>0</v>
      </c>
      <c r="CD71" s="165">
        <f>SUM(CD72:CD74)</f>
        <v>118458.70000000001</v>
      </c>
      <c r="CE71" s="167"/>
      <c r="CF71" s="167"/>
    </row>
    <row r="72" spans="1:82" ht="15.75">
      <c r="A72" s="35"/>
      <c r="B72" s="36"/>
      <c r="C72" s="36" t="s">
        <v>98</v>
      </c>
      <c r="D72" s="36"/>
      <c r="E72" s="37"/>
      <c r="F72" s="37"/>
      <c r="G72" s="37"/>
      <c r="H72" s="37">
        <v>0</v>
      </c>
      <c r="I72" s="37"/>
      <c r="J72" s="37"/>
      <c r="K72" s="37"/>
      <c r="L72" s="37">
        <f>SUM(F72-G72+H72-I72+J72)</f>
        <v>0</v>
      </c>
      <c r="M72" s="37"/>
      <c r="N72" s="37"/>
      <c r="O72" s="37"/>
      <c r="P72" s="37"/>
      <c r="Q72" s="37"/>
      <c r="R72" s="37">
        <f>SUM(L72-M72+N72-O72+P72)</f>
        <v>0</v>
      </c>
      <c r="S72" s="37"/>
      <c r="T72" s="37">
        <v>0</v>
      </c>
      <c r="U72" s="37"/>
      <c r="V72" s="37"/>
      <c r="W72" s="37"/>
      <c r="X72" s="37">
        <f>SUM(R72-S72+T72-U72+V72)</f>
        <v>0</v>
      </c>
      <c r="Y72" s="37"/>
      <c r="Z72" s="37">
        <v>0</v>
      </c>
      <c r="AA72" s="37"/>
      <c r="AB72" s="37"/>
      <c r="AC72" s="37"/>
      <c r="AD72" s="37">
        <f>SUM(X72-Y72+Z72-AA72+AB72)</f>
        <v>0</v>
      </c>
      <c r="AE72" s="37"/>
      <c r="AF72" s="202"/>
      <c r="AG72" s="37"/>
      <c r="AH72" s="37"/>
      <c r="AI72" s="37"/>
      <c r="AJ72" s="37">
        <f>SUM(AD72-AE72+AF72-AG72+AH72)</f>
        <v>0</v>
      </c>
      <c r="AK72" s="37"/>
      <c r="AL72" s="37"/>
      <c r="AM72" s="37"/>
      <c r="AN72" s="37"/>
      <c r="AO72" s="37"/>
      <c r="AP72" s="37">
        <f>SUM(AJ72-AK72+AL72-AM72+AN72)</f>
        <v>0</v>
      </c>
      <c r="AQ72" s="37"/>
      <c r="AR72" s="37"/>
      <c r="AS72" s="37"/>
      <c r="AT72" s="37"/>
      <c r="AU72" s="37"/>
      <c r="AV72" s="37">
        <f>SUM(AP72-AQ72+AR72-AS72+AT72)</f>
        <v>0</v>
      </c>
      <c r="AW72" s="37"/>
      <c r="AX72" s="37">
        <v>0</v>
      </c>
      <c r="AY72" s="37"/>
      <c r="AZ72" s="37"/>
      <c r="BA72" s="37"/>
      <c r="BB72" s="37">
        <f>SUM(AV72-AW72+AX72-AY72+AZ72)</f>
        <v>0</v>
      </c>
      <c r="BC72" s="37"/>
      <c r="BD72" s="37"/>
      <c r="BE72" s="37"/>
      <c r="BF72" s="37"/>
      <c r="BG72" s="37"/>
      <c r="BH72" s="37">
        <f>SUM(BB72-BC72+BD72-BE72+BF72)</f>
        <v>0</v>
      </c>
      <c r="BI72" s="37"/>
      <c r="BJ72" s="37"/>
      <c r="BK72" s="37"/>
      <c r="BL72" s="37"/>
      <c r="BM72" s="37"/>
      <c r="BN72" s="37">
        <f>SUM(BH72-BI72+BJ72-BK72+BL72)</f>
        <v>0</v>
      </c>
      <c r="BO72" s="37"/>
      <c r="BP72" s="37"/>
      <c r="BQ72" s="37"/>
      <c r="BR72" s="37"/>
      <c r="BS72" s="37"/>
      <c r="BT72" s="37">
        <f>SUM(BN72-BO72+BP72-BQ72+BR72)</f>
        <v>0</v>
      </c>
      <c r="BU72" s="37"/>
      <c r="BV72" s="37"/>
      <c r="BW72" s="37"/>
      <c r="BX72" s="37"/>
      <c r="BY72" s="37"/>
      <c r="BZ72" s="37">
        <f>SUM(BT72-BU72+BV72-BW72+BX72)</f>
        <v>0</v>
      </c>
      <c r="CA72" s="37"/>
      <c r="CB72" s="37"/>
      <c r="CC72" s="37"/>
      <c r="CD72" s="14">
        <f>+BZ72+CB72-CA72</f>
        <v>0</v>
      </c>
    </row>
    <row r="73" spans="1:82" ht="15.75">
      <c r="A73" s="38"/>
      <c r="B73" s="39"/>
      <c r="C73" s="39" t="s">
        <v>62</v>
      </c>
      <c r="D73" s="39"/>
      <c r="E73" s="40"/>
      <c r="F73" s="40"/>
      <c r="G73" s="40"/>
      <c r="H73" s="40">
        <v>0</v>
      </c>
      <c r="I73" s="40"/>
      <c r="J73" s="40"/>
      <c r="K73" s="40"/>
      <c r="L73" s="40">
        <f>SUM(F73-G73+H73-I73+J73)</f>
        <v>0</v>
      </c>
      <c r="M73" s="40"/>
      <c r="N73" s="40"/>
      <c r="O73" s="40"/>
      <c r="P73" s="40"/>
      <c r="Q73" s="40"/>
      <c r="R73" s="40">
        <f>SUM(L73-M73+N73-O73+P73)</f>
        <v>0</v>
      </c>
      <c r="S73" s="40"/>
      <c r="T73" s="40">
        <v>107996.91</v>
      </c>
      <c r="U73" s="40"/>
      <c r="V73" s="40"/>
      <c r="W73" s="40"/>
      <c r="X73" s="40">
        <f>SUM(R73-S73+T73-U73+V73)</f>
        <v>107996.91</v>
      </c>
      <c r="Y73" s="40"/>
      <c r="Z73" s="40">
        <v>0</v>
      </c>
      <c r="AA73" s="40"/>
      <c r="AB73" s="40"/>
      <c r="AC73" s="40"/>
      <c r="AD73" s="40">
        <f>SUM(X73-Y73+Z73-AA73+AB73)</f>
        <v>107996.91</v>
      </c>
      <c r="AE73" s="40"/>
      <c r="AF73" s="203"/>
      <c r="AG73" s="40"/>
      <c r="AH73" s="40"/>
      <c r="AI73" s="40"/>
      <c r="AJ73" s="40">
        <f>SUM(AD73-AE73+AF73-AG73+AH73)</f>
        <v>107996.91</v>
      </c>
      <c r="AK73" s="40"/>
      <c r="AL73" s="40">
        <v>10461.79</v>
      </c>
      <c r="AM73" s="40"/>
      <c r="AN73" s="40"/>
      <c r="AO73" s="40"/>
      <c r="AP73" s="40">
        <f>SUM(AJ73-AK73+AL73-AM73+AN73)</f>
        <v>118458.70000000001</v>
      </c>
      <c r="AQ73" s="40"/>
      <c r="AR73" s="40"/>
      <c r="AS73" s="40"/>
      <c r="AT73" s="40"/>
      <c r="AU73" s="40"/>
      <c r="AV73" s="40">
        <f>SUM(AP73-AQ73+AR73-AS73+AT73)</f>
        <v>118458.70000000001</v>
      </c>
      <c r="AW73" s="40"/>
      <c r="AX73" s="40">
        <v>0</v>
      </c>
      <c r="AY73" s="40"/>
      <c r="AZ73" s="40"/>
      <c r="BA73" s="40"/>
      <c r="BB73" s="40">
        <f>SUM(AV73-AW73+AX73-AY73+AZ73)</f>
        <v>118458.70000000001</v>
      </c>
      <c r="BC73" s="40"/>
      <c r="BD73" s="40"/>
      <c r="BE73" s="40"/>
      <c r="BF73" s="40"/>
      <c r="BG73" s="40"/>
      <c r="BH73" s="40">
        <f>SUM(BB73-BC73+BD73-BE73+BF73)</f>
        <v>118458.70000000001</v>
      </c>
      <c r="BI73" s="40"/>
      <c r="BJ73" s="40"/>
      <c r="BK73" s="40"/>
      <c r="BL73" s="40"/>
      <c r="BM73" s="40"/>
      <c r="BN73" s="40">
        <f>SUM(BH73-BI73+BJ73-BK73+BL73)</f>
        <v>118458.70000000001</v>
      </c>
      <c r="BO73" s="40"/>
      <c r="BP73" s="40"/>
      <c r="BQ73" s="40"/>
      <c r="BR73" s="40"/>
      <c r="BS73" s="40"/>
      <c r="BT73" s="40">
        <f>SUM(BN73-BO73+BP73-BQ73+BR73)</f>
        <v>118458.70000000001</v>
      </c>
      <c r="BU73" s="40"/>
      <c r="BV73" s="40"/>
      <c r="BW73" s="40"/>
      <c r="BX73" s="40"/>
      <c r="BY73" s="40"/>
      <c r="BZ73" s="40">
        <f>SUM(BT73-BU73+BV73-BW73+BX73)</f>
        <v>118458.70000000001</v>
      </c>
      <c r="CA73" s="40"/>
      <c r="CB73" s="40"/>
      <c r="CC73" s="40"/>
      <c r="CD73" s="40">
        <f>+BZ73+CB73-CA73</f>
        <v>118458.70000000001</v>
      </c>
    </row>
    <row r="74" spans="1:82" ht="15.75">
      <c r="A74" s="41"/>
      <c r="B74" s="42"/>
      <c r="C74" s="42" t="s">
        <v>99</v>
      </c>
      <c r="D74" s="42"/>
      <c r="E74" s="43"/>
      <c r="F74" s="43"/>
      <c r="G74" s="43"/>
      <c r="H74" s="43">
        <v>0</v>
      </c>
      <c r="I74" s="43"/>
      <c r="J74" s="43"/>
      <c r="K74" s="43"/>
      <c r="L74" s="40">
        <f>SUM(F74-G74+H74-I74+J74)</f>
        <v>0</v>
      </c>
      <c r="M74" s="43"/>
      <c r="N74" s="43"/>
      <c r="O74" s="43"/>
      <c r="P74" s="43"/>
      <c r="Q74" s="43"/>
      <c r="R74" s="40">
        <f>SUM(L74-M74+N74-O74+P74)</f>
        <v>0</v>
      </c>
      <c r="S74" s="43"/>
      <c r="T74" s="43">
        <v>0</v>
      </c>
      <c r="U74" s="43"/>
      <c r="V74" s="43"/>
      <c r="W74" s="43"/>
      <c r="X74" s="40">
        <f>SUM(R74-S74+T74-U74+V74)</f>
        <v>0</v>
      </c>
      <c r="Y74" s="43"/>
      <c r="Z74" s="43">
        <v>0</v>
      </c>
      <c r="AA74" s="43"/>
      <c r="AB74" s="43"/>
      <c r="AC74" s="43"/>
      <c r="AD74" s="40">
        <f>SUM(X74-Y74+Z74-AA74+AB74)</f>
        <v>0</v>
      </c>
      <c r="AE74" s="43"/>
      <c r="AF74" s="204"/>
      <c r="AG74" s="43"/>
      <c r="AH74" s="43"/>
      <c r="AI74" s="43"/>
      <c r="AJ74" s="40">
        <f>SUM(AD74-AE74+AF74-AG74+AH74)</f>
        <v>0</v>
      </c>
      <c r="AK74" s="43"/>
      <c r="AL74" s="43"/>
      <c r="AM74" s="43"/>
      <c r="AN74" s="43"/>
      <c r="AO74" s="43"/>
      <c r="AP74" s="40">
        <f>SUM(AJ74-AK74+AL74-AM74+AN74)</f>
        <v>0</v>
      </c>
      <c r="AQ74" s="43"/>
      <c r="AR74" s="43">
        <v>0</v>
      </c>
      <c r="AS74" s="43"/>
      <c r="AT74" s="43"/>
      <c r="AU74" s="43"/>
      <c r="AV74" s="40">
        <f>SUM(AP74-AQ74+AR74-AS74+AT74)</f>
        <v>0</v>
      </c>
      <c r="AW74" s="43"/>
      <c r="AX74" s="43">
        <v>0</v>
      </c>
      <c r="AY74" s="43"/>
      <c r="AZ74" s="43"/>
      <c r="BA74" s="43"/>
      <c r="BB74" s="40">
        <f>SUM(AV74-AW74+AX74-AY74+AZ74)</f>
        <v>0</v>
      </c>
      <c r="BC74" s="43"/>
      <c r="BD74" s="43"/>
      <c r="BE74" s="43"/>
      <c r="BF74" s="43"/>
      <c r="BG74" s="43"/>
      <c r="BH74" s="40">
        <f>SUM(BB74-BC74+BD74-BE74+BF74)</f>
        <v>0</v>
      </c>
      <c r="BI74" s="43"/>
      <c r="BJ74" s="43"/>
      <c r="BK74" s="43"/>
      <c r="BL74" s="43"/>
      <c r="BM74" s="43"/>
      <c r="BN74" s="40">
        <f>SUM(BH74-BI74+BJ74-BK74+BL74)</f>
        <v>0</v>
      </c>
      <c r="BO74" s="43"/>
      <c r="BP74" s="43"/>
      <c r="BQ74" s="43"/>
      <c r="BR74" s="43"/>
      <c r="BS74" s="43"/>
      <c r="BT74" s="40">
        <f>SUM(BN74-BO74+BP74-BQ74+BR74)</f>
        <v>0</v>
      </c>
      <c r="BU74" s="43"/>
      <c r="BV74" s="43"/>
      <c r="BW74" s="43"/>
      <c r="BX74" s="43"/>
      <c r="BY74" s="43"/>
      <c r="BZ74" s="40">
        <f>SUM(BT74-BU74+BV74-BW74+BX74)</f>
        <v>0</v>
      </c>
      <c r="CA74" s="43"/>
      <c r="CB74" s="43"/>
      <c r="CC74" s="43"/>
      <c r="CD74" s="146">
        <f>+BZ74+CB74-CA74</f>
        <v>0</v>
      </c>
    </row>
    <row r="75" spans="1:84" s="168" customFormat="1" ht="15.75">
      <c r="A75" s="163"/>
      <c r="B75" s="164" t="s">
        <v>100</v>
      </c>
      <c r="C75" s="164"/>
      <c r="D75" s="164"/>
      <c r="E75" s="165">
        <f aca="true" t="shared" si="67" ref="E75:N75">SUM(E76)</f>
        <v>0</v>
      </c>
      <c r="F75" s="165">
        <f t="shared" si="67"/>
        <v>0</v>
      </c>
      <c r="G75" s="165">
        <f t="shared" si="67"/>
        <v>0</v>
      </c>
      <c r="H75" s="165">
        <f t="shared" si="67"/>
        <v>11280</v>
      </c>
      <c r="I75" s="165">
        <f t="shared" si="67"/>
        <v>0</v>
      </c>
      <c r="J75" s="165">
        <f t="shared" si="67"/>
        <v>0</v>
      </c>
      <c r="K75" s="165">
        <f t="shared" si="67"/>
        <v>0</v>
      </c>
      <c r="L75" s="165">
        <f>SUM(L76)</f>
        <v>11280</v>
      </c>
      <c r="M75" s="165">
        <f t="shared" si="67"/>
        <v>0</v>
      </c>
      <c r="N75" s="165">
        <f t="shared" si="67"/>
        <v>14740</v>
      </c>
      <c r="O75" s="165"/>
      <c r="P75" s="165"/>
      <c r="Q75" s="165">
        <f>SUM(Q76)</f>
        <v>0</v>
      </c>
      <c r="R75" s="165">
        <f>SUM(R76)</f>
        <v>26020</v>
      </c>
      <c r="S75" s="165">
        <f>SUM(S76)</f>
        <v>0</v>
      </c>
      <c r="T75" s="165">
        <f>SUM(T76)</f>
        <v>41565</v>
      </c>
      <c r="U75" s="165"/>
      <c r="V75" s="165"/>
      <c r="W75" s="165">
        <f>SUM(W76)</f>
        <v>0</v>
      </c>
      <c r="X75" s="165">
        <f>SUM(X76)</f>
        <v>67585</v>
      </c>
      <c r="Y75" s="165">
        <f>SUM(Y76)</f>
        <v>0</v>
      </c>
      <c r="Z75" s="165">
        <f>SUM(Z76)</f>
        <v>15875</v>
      </c>
      <c r="AA75" s="165"/>
      <c r="AB75" s="165"/>
      <c r="AC75" s="165">
        <f>SUM(AC76)</f>
        <v>0</v>
      </c>
      <c r="AD75" s="165">
        <f>SUM(AD76)</f>
        <v>83460</v>
      </c>
      <c r="AE75" s="165">
        <f>SUM(AE76)</f>
        <v>0</v>
      </c>
      <c r="AF75" s="165">
        <f>SUM(AF76)</f>
        <v>63100</v>
      </c>
      <c r="AG75" s="165"/>
      <c r="AH75" s="165"/>
      <c r="AI75" s="165">
        <f>SUM(AI76)</f>
        <v>0</v>
      </c>
      <c r="AJ75" s="165">
        <f>SUM(AJ76)</f>
        <v>146560</v>
      </c>
      <c r="AK75" s="165">
        <f>SUM(AK76)</f>
        <v>0</v>
      </c>
      <c r="AL75" s="165">
        <f>SUM(AL76)</f>
        <v>24305</v>
      </c>
      <c r="AM75" s="166"/>
      <c r="AN75" s="166"/>
      <c r="AO75" s="165">
        <f>SUM(AO76)</f>
        <v>0</v>
      </c>
      <c r="AP75" s="165">
        <f>SUM(AP76)</f>
        <v>170865</v>
      </c>
      <c r="AQ75" s="165">
        <f>SUM(AQ76)</f>
        <v>0</v>
      </c>
      <c r="AR75" s="165">
        <f>SUM(AR76)</f>
        <v>20995</v>
      </c>
      <c r="AS75" s="165"/>
      <c r="AT75" s="165"/>
      <c r="AU75" s="165">
        <f aca="true" t="shared" si="68" ref="AU75:BD75">SUM(AU76)</f>
        <v>0</v>
      </c>
      <c r="AV75" s="165">
        <f>SUM(AV76)</f>
        <v>191860</v>
      </c>
      <c r="AW75" s="165">
        <f t="shared" si="68"/>
        <v>0</v>
      </c>
      <c r="AX75" s="165">
        <f t="shared" si="68"/>
        <v>25605</v>
      </c>
      <c r="AY75" s="165">
        <f t="shared" si="68"/>
        <v>0</v>
      </c>
      <c r="AZ75" s="165">
        <f t="shared" si="68"/>
        <v>0</v>
      </c>
      <c r="BA75" s="165">
        <f t="shared" si="68"/>
        <v>0</v>
      </c>
      <c r="BB75" s="165">
        <f>SUM(BB76)</f>
        <v>217465</v>
      </c>
      <c r="BC75" s="165">
        <f t="shared" si="68"/>
        <v>0</v>
      </c>
      <c r="BD75" s="165">
        <f t="shared" si="68"/>
        <v>0</v>
      </c>
      <c r="BE75" s="165"/>
      <c r="BF75" s="165"/>
      <c r="BG75" s="165">
        <f>SUM(BG76)</f>
        <v>0</v>
      </c>
      <c r="BH75" s="165">
        <f>SUM(BH76)</f>
        <v>217465</v>
      </c>
      <c r="BI75" s="165">
        <f>SUM(BI76)</f>
        <v>0</v>
      </c>
      <c r="BJ75" s="165">
        <f>SUM(BJ76)</f>
        <v>0</v>
      </c>
      <c r="BK75" s="165"/>
      <c r="BL75" s="165"/>
      <c r="BM75" s="165">
        <f>SUM(BM76)</f>
        <v>0</v>
      </c>
      <c r="BN75" s="165">
        <f>SUM(BN76)</f>
        <v>217465</v>
      </c>
      <c r="BO75" s="165">
        <f>SUM(BO76)</f>
        <v>0</v>
      </c>
      <c r="BP75" s="165">
        <f>SUM(BP76)</f>
        <v>0</v>
      </c>
      <c r="BQ75" s="165"/>
      <c r="BR75" s="165"/>
      <c r="BS75" s="165">
        <f>SUM(BS76)</f>
        <v>0</v>
      </c>
      <c r="BT75" s="165">
        <f>SUM(BT76)</f>
        <v>217465</v>
      </c>
      <c r="BU75" s="165">
        <f>SUM(BU76)</f>
        <v>0</v>
      </c>
      <c r="BV75" s="165">
        <f>SUM(BV76)</f>
        <v>0</v>
      </c>
      <c r="BW75" s="165">
        <f>SUM(BW76)</f>
        <v>0</v>
      </c>
      <c r="BX75" s="165">
        <f>SUM(BX76)</f>
        <v>0</v>
      </c>
      <c r="BY75" s="165">
        <f>SUM(BY76)</f>
        <v>0</v>
      </c>
      <c r="BZ75" s="165">
        <f>SUM(BZ76)</f>
        <v>217465</v>
      </c>
      <c r="CA75" s="166">
        <f>SUM(CA76)</f>
        <v>0</v>
      </c>
      <c r="CB75" s="166">
        <f>SUM(CB76)</f>
        <v>0</v>
      </c>
      <c r="CC75" s="165">
        <f>SUM(CC76)</f>
        <v>0</v>
      </c>
      <c r="CD75" s="165">
        <f>SUM(CD76)</f>
        <v>217465</v>
      </c>
      <c r="CE75" s="167"/>
      <c r="CF75" s="167"/>
    </row>
    <row r="76" spans="1:82" ht="15.75">
      <c r="A76" s="13"/>
      <c r="B76" s="28"/>
      <c r="C76" s="28" t="s">
        <v>63</v>
      </c>
      <c r="D76" s="28"/>
      <c r="E76" s="12"/>
      <c r="F76" s="12"/>
      <c r="G76" s="12"/>
      <c r="H76" s="12">
        <v>11280</v>
      </c>
      <c r="I76" s="12"/>
      <c r="J76" s="12"/>
      <c r="K76" s="12"/>
      <c r="L76" s="12">
        <f>SUM(F76-G76+H76-I76+J76)</f>
        <v>11280</v>
      </c>
      <c r="M76" s="12"/>
      <c r="N76" s="12">
        <v>14740</v>
      </c>
      <c r="O76" s="12"/>
      <c r="P76" s="12"/>
      <c r="Q76" s="12"/>
      <c r="R76" s="12">
        <f>SUM(L76-M76+N76-O76+P76)</f>
        <v>26020</v>
      </c>
      <c r="S76" s="12"/>
      <c r="T76" s="12">
        <v>41565</v>
      </c>
      <c r="U76" s="12"/>
      <c r="V76" s="12"/>
      <c r="W76" s="12"/>
      <c r="X76" s="12">
        <f>SUM(R76-S76+T76-U76+V76)</f>
        <v>67585</v>
      </c>
      <c r="Y76" s="12"/>
      <c r="Z76" s="12">
        <v>15875</v>
      </c>
      <c r="AA76" s="12"/>
      <c r="AB76" s="12"/>
      <c r="AC76" s="12"/>
      <c r="AD76" s="12">
        <f>SUM(X76-Y76+Z76-AA76+AB76)</f>
        <v>83460</v>
      </c>
      <c r="AE76" s="12"/>
      <c r="AF76" s="12">
        <v>63100</v>
      </c>
      <c r="AG76" s="12"/>
      <c r="AH76" s="12"/>
      <c r="AI76" s="12"/>
      <c r="AJ76" s="12">
        <f>SUM(AD76-AE76+AF76-AG76+AH76)</f>
        <v>146560</v>
      </c>
      <c r="AK76" s="12"/>
      <c r="AL76" s="12">
        <v>24305</v>
      </c>
      <c r="AM76" s="12"/>
      <c r="AN76" s="12"/>
      <c r="AO76" s="12"/>
      <c r="AP76" s="12">
        <f>SUM(AJ76-AK76+AL76-AM76+AN76)</f>
        <v>170865</v>
      </c>
      <c r="AQ76" s="12"/>
      <c r="AR76" s="12">
        <v>20995</v>
      </c>
      <c r="AS76" s="12"/>
      <c r="AT76" s="12"/>
      <c r="AU76" s="12"/>
      <c r="AV76" s="12">
        <f>SUM(AP76-AQ76+AR76-AS76+AT76)</f>
        <v>191860</v>
      </c>
      <c r="AW76" s="12"/>
      <c r="AX76" s="12">
        <v>25605</v>
      </c>
      <c r="AY76" s="12"/>
      <c r="AZ76" s="12"/>
      <c r="BA76" s="12"/>
      <c r="BB76" s="12">
        <f>SUM(AV76-AW76+AX76-AY76+AZ76)</f>
        <v>217465</v>
      </c>
      <c r="BC76" s="12"/>
      <c r="BD76" s="12"/>
      <c r="BE76" s="12"/>
      <c r="BF76" s="12"/>
      <c r="BG76" s="12"/>
      <c r="BH76" s="12">
        <f>SUM(BB76-BC76+BD76-BE76+BF76)</f>
        <v>217465</v>
      </c>
      <c r="BI76" s="12"/>
      <c r="BJ76" s="12"/>
      <c r="BK76" s="12"/>
      <c r="BL76" s="12"/>
      <c r="BM76" s="12"/>
      <c r="BN76" s="12">
        <f>SUM(BH76-BI76+BJ76-BK76+BL76)</f>
        <v>217465</v>
      </c>
      <c r="BO76" s="12"/>
      <c r="BP76" s="12"/>
      <c r="BQ76" s="12"/>
      <c r="BR76" s="12"/>
      <c r="BS76" s="12"/>
      <c r="BT76" s="12">
        <f>SUM(BN76-BO76+BP76-BQ76+BR76)</f>
        <v>217465</v>
      </c>
      <c r="BU76" s="12"/>
      <c r="BV76" s="12"/>
      <c r="BW76" s="12"/>
      <c r="BX76" s="12"/>
      <c r="BY76" s="12"/>
      <c r="BZ76" s="12">
        <f>SUM(BT76-BU76+BV76-BW76+BX76)</f>
        <v>217465</v>
      </c>
      <c r="CA76" s="12"/>
      <c r="CB76" s="12"/>
      <c r="CC76" s="12"/>
      <c r="CD76" s="12">
        <f>+BZ76-CA76</f>
        <v>217465</v>
      </c>
    </row>
    <row r="77" spans="1:84" s="168" customFormat="1" ht="15.75">
      <c r="A77" s="163"/>
      <c r="B77" s="164" t="s">
        <v>101</v>
      </c>
      <c r="C77" s="164"/>
      <c r="D77" s="164"/>
      <c r="E77" s="165">
        <f aca="true" t="shared" si="69" ref="E77:M77">SUM(E78:E80)</f>
        <v>0</v>
      </c>
      <c r="F77" s="165">
        <f t="shared" si="69"/>
        <v>0</v>
      </c>
      <c r="G77" s="165">
        <f t="shared" si="69"/>
        <v>0</v>
      </c>
      <c r="H77" s="165">
        <f>SUM(H78:H80)</f>
        <v>151530</v>
      </c>
      <c r="I77" s="165">
        <f t="shared" si="69"/>
        <v>0</v>
      </c>
      <c r="J77" s="165">
        <f t="shared" si="69"/>
        <v>0</v>
      </c>
      <c r="K77" s="165">
        <f t="shared" si="69"/>
        <v>0</v>
      </c>
      <c r="L77" s="165">
        <f>SUM(L78:L80)</f>
        <v>151530</v>
      </c>
      <c r="M77" s="165">
        <f t="shared" si="69"/>
        <v>0</v>
      </c>
      <c r="N77" s="165">
        <f>SUM(N78:N80)</f>
        <v>49020</v>
      </c>
      <c r="O77" s="165"/>
      <c r="P77" s="165"/>
      <c r="Q77" s="165">
        <f>SUM(Q78:Q80)</f>
        <v>0</v>
      </c>
      <c r="R77" s="165">
        <f>SUM(R78:R80)</f>
        <v>200550</v>
      </c>
      <c r="S77" s="165">
        <f>SUM(S78:S80)</f>
        <v>0</v>
      </c>
      <c r="T77" s="165">
        <f>SUM(T78:T80)</f>
        <v>39580</v>
      </c>
      <c r="U77" s="165"/>
      <c r="V77" s="165"/>
      <c r="W77" s="165">
        <f>SUM(W78:W80)</f>
        <v>0</v>
      </c>
      <c r="X77" s="165">
        <f>SUM(X78:X80)</f>
        <v>240130</v>
      </c>
      <c r="Y77" s="165">
        <f>SUM(Y78:Y80)</f>
        <v>0</v>
      </c>
      <c r="Z77" s="165">
        <f>SUM(Z78:Z80)</f>
        <v>9555</v>
      </c>
      <c r="AA77" s="165"/>
      <c r="AB77" s="165"/>
      <c r="AC77" s="165">
        <f>SUM(AC78:AC80)</f>
        <v>0</v>
      </c>
      <c r="AD77" s="165">
        <f>SUM(AD78:AD80)</f>
        <v>249685</v>
      </c>
      <c r="AE77" s="165">
        <f>SUM(AE78:AE80)</f>
        <v>0</v>
      </c>
      <c r="AF77" s="165">
        <f>SUM(AF78:AF80)</f>
        <v>14615</v>
      </c>
      <c r="AG77" s="165"/>
      <c r="AH77" s="165"/>
      <c r="AI77" s="165">
        <f>SUM(AI78:AI80)</f>
        <v>0</v>
      </c>
      <c r="AJ77" s="165">
        <f>SUM(AJ78:AJ80)</f>
        <v>264300</v>
      </c>
      <c r="AK77" s="165">
        <f>SUM(AK78:AK80)</f>
        <v>0</v>
      </c>
      <c r="AL77" s="165">
        <f>SUM(AL78:AL80)</f>
        <v>740</v>
      </c>
      <c r="AM77" s="166"/>
      <c r="AN77" s="166">
        <f>SUM(AN78:AN80)</f>
        <v>10.8</v>
      </c>
      <c r="AO77" s="165">
        <f>SUM(AO78:AO80)</f>
        <v>0</v>
      </c>
      <c r="AP77" s="165">
        <f>SUM(AP78:AP80)</f>
        <v>265050.8</v>
      </c>
      <c r="AQ77" s="165">
        <f>SUM(AQ78:AQ80)</f>
        <v>0</v>
      </c>
      <c r="AR77" s="165">
        <f>SUM(AR78:AR80)</f>
        <v>520</v>
      </c>
      <c r="AS77" s="165">
        <f>SUM(AS78:AS80)</f>
        <v>0</v>
      </c>
      <c r="AT77" s="165">
        <f>SUM(AT78:AT80)</f>
        <v>0</v>
      </c>
      <c r="AU77" s="165">
        <f aca="true" t="shared" si="70" ref="AU77:BD77">SUM(AU78:AU80)</f>
        <v>0</v>
      </c>
      <c r="AV77" s="165">
        <f>SUM(AV78:AV80)</f>
        <v>265570.8</v>
      </c>
      <c r="AW77" s="165">
        <f t="shared" si="70"/>
        <v>0</v>
      </c>
      <c r="AX77" s="165">
        <f t="shared" si="70"/>
        <v>0</v>
      </c>
      <c r="AY77" s="165">
        <f t="shared" si="70"/>
        <v>0</v>
      </c>
      <c r="AZ77" s="165">
        <f t="shared" si="70"/>
        <v>0</v>
      </c>
      <c r="BA77" s="165">
        <f t="shared" si="70"/>
        <v>0</v>
      </c>
      <c r="BB77" s="165">
        <f>SUM(BB78:BB80)</f>
        <v>265570.8</v>
      </c>
      <c r="BC77" s="165">
        <f t="shared" si="70"/>
        <v>0</v>
      </c>
      <c r="BD77" s="165">
        <f t="shared" si="70"/>
        <v>0</v>
      </c>
      <c r="BE77" s="165"/>
      <c r="BF77" s="165"/>
      <c r="BG77" s="165">
        <f>SUM(BG78:BG80)</f>
        <v>0</v>
      </c>
      <c r="BH77" s="165">
        <f>SUM(BH78:BH80)</f>
        <v>265570.8</v>
      </c>
      <c r="BI77" s="165">
        <f>SUM(BI78:BI80)</f>
        <v>0</v>
      </c>
      <c r="BJ77" s="165">
        <f>SUM(BJ78:BJ80)</f>
        <v>0</v>
      </c>
      <c r="BK77" s="165"/>
      <c r="BL77" s="165"/>
      <c r="BM77" s="165">
        <f>SUM(BM78:BM80)</f>
        <v>0</v>
      </c>
      <c r="BN77" s="165">
        <f>SUM(BN78:BN80)</f>
        <v>265570.8</v>
      </c>
      <c r="BO77" s="165">
        <f>SUM(BO78:BO80)</f>
        <v>0</v>
      </c>
      <c r="BP77" s="165">
        <f>SUM(BP78:BP80)</f>
        <v>0</v>
      </c>
      <c r="BQ77" s="165"/>
      <c r="BR77" s="165"/>
      <c r="BS77" s="165">
        <f>SUM(BS78:BS80)</f>
        <v>0</v>
      </c>
      <c r="BT77" s="165">
        <f>SUM(BT78:BT80)</f>
        <v>265570.8</v>
      </c>
      <c r="BU77" s="165">
        <f>SUM(BU78:BU80)</f>
        <v>0</v>
      </c>
      <c r="BV77" s="165">
        <f>SUM(BV78:BV80)</f>
        <v>0</v>
      </c>
      <c r="BW77" s="165"/>
      <c r="BX77" s="165"/>
      <c r="BY77" s="165">
        <f>SUM(BY78:BY80)</f>
        <v>0</v>
      </c>
      <c r="BZ77" s="165">
        <f>SUM(BZ78:BZ80)</f>
        <v>265570.8</v>
      </c>
      <c r="CA77" s="166">
        <f>SUM(CA78:CA80)</f>
        <v>0</v>
      </c>
      <c r="CB77" s="166">
        <f>SUM(CB78:CB80)</f>
        <v>0</v>
      </c>
      <c r="CC77" s="165">
        <f>SUM(CC78:CC80)</f>
        <v>0</v>
      </c>
      <c r="CD77" s="165">
        <f>SUM(CD78:CD80)</f>
        <v>265570.8</v>
      </c>
      <c r="CE77" s="167"/>
      <c r="CF77" s="167"/>
    </row>
    <row r="78" spans="1:82" ht="15.75">
      <c r="A78" s="35"/>
      <c r="B78" s="36"/>
      <c r="C78" s="36" t="s">
        <v>64</v>
      </c>
      <c r="D78" s="36"/>
      <c r="E78" s="37"/>
      <c r="F78" s="37"/>
      <c r="G78" s="37"/>
      <c r="H78" s="37">
        <v>151500</v>
      </c>
      <c r="I78" s="37"/>
      <c r="J78" s="37"/>
      <c r="K78" s="37"/>
      <c r="L78" s="37">
        <f>SUM(F78-G78+H78-I78+J78)</f>
        <v>151500</v>
      </c>
      <c r="M78" s="37"/>
      <c r="N78" s="37">
        <v>49000</v>
      </c>
      <c r="O78" s="37"/>
      <c r="P78" s="37"/>
      <c r="Q78" s="37"/>
      <c r="R78" s="37">
        <f>SUM(L78-M78+N78-O78+P78)</f>
        <v>200500</v>
      </c>
      <c r="S78" s="37"/>
      <c r="T78" s="37">
        <v>37000</v>
      </c>
      <c r="U78" s="37"/>
      <c r="V78" s="37"/>
      <c r="W78" s="37"/>
      <c r="X78" s="37">
        <f>SUM(R78-S78+T78-U78+V78)</f>
        <v>237500</v>
      </c>
      <c r="Y78" s="37"/>
      <c r="Z78" s="37">
        <v>9000</v>
      </c>
      <c r="AA78" s="37"/>
      <c r="AB78" s="37"/>
      <c r="AC78" s="37"/>
      <c r="AD78" s="37">
        <f>SUM(X78-Y78+Z78-AA78+AB78)</f>
        <v>246500</v>
      </c>
      <c r="AE78" s="37"/>
      <c r="AF78" s="37">
        <v>13000</v>
      </c>
      <c r="AG78" s="37"/>
      <c r="AH78" s="37"/>
      <c r="AI78" s="37"/>
      <c r="AJ78" s="37">
        <f>SUM(AD78-AE78+AF78-AG78+AH78)</f>
        <v>259500</v>
      </c>
      <c r="AK78" s="37"/>
      <c r="AL78" s="37"/>
      <c r="AM78" s="37"/>
      <c r="AN78" s="37"/>
      <c r="AO78" s="37"/>
      <c r="AP78" s="37">
        <f>SUM(AJ78-AK78+AL78-AM78+AN78)</f>
        <v>259500</v>
      </c>
      <c r="AQ78" s="37"/>
      <c r="AR78" s="37"/>
      <c r="AS78" s="37"/>
      <c r="AT78" s="37"/>
      <c r="AU78" s="37"/>
      <c r="AV78" s="37">
        <f>SUM(AP78-AQ78+AR78-AS78+AT78)</f>
        <v>259500</v>
      </c>
      <c r="AW78" s="37"/>
      <c r="AX78" s="37">
        <v>0</v>
      </c>
      <c r="AY78" s="37"/>
      <c r="AZ78" s="37"/>
      <c r="BA78" s="37"/>
      <c r="BB78" s="37">
        <f>SUM(AV78-AW78+AX78-AY78+AZ78)</f>
        <v>259500</v>
      </c>
      <c r="BC78" s="37"/>
      <c r="BD78" s="37"/>
      <c r="BE78" s="37"/>
      <c r="BF78" s="37"/>
      <c r="BG78" s="37"/>
      <c r="BH78" s="37">
        <f>SUM(BB78-BC78+BD78-BE78+BF78)</f>
        <v>259500</v>
      </c>
      <c r="BI78" s="37"/>
      <c r="BJ78" s="37"/>
      <c r="BK78" s="37"/>
      <c r="BL78" s="37"/>
      <c r="BM78" s="37"/>
      <c r="BN78" s="37">
        <f>SUM(BH78-BI78+BJ78-BK78+BL78)</f>
        <v>259500</v>
      </c>
      <c r="BO78" s="37"/>
      <c r="BP78" s="37"/>
      <c r="BQ78" s="37"/>
      <c r="BR78" s="37"/>
      <c r="BS78" s="37"/>
      <c r="BT78" s="37">
        <f>SUM(BN78-BO78+BP78-BQ78+BR78)</f>
        <v>259500</v>
      </c>
      <c r="BU78" s="37"/>
      <c r="BV78" s="37"/>
      <c r="BW78" s="37"/>
      <c r="BX78" s="37"/>
      <c r="BY78" s="37"/>
      <c r="BZ78" s="37">
        <f>SUM(BT78-BU78+BV78-BW78+BX78)</f>
        <v>259500</v>
      </c>
      <c r="CA78" s="37"/>
      <c r="CB78" s="37"/>
      <c r="CC78" s="37"/>
      <c r="CD78" s="37">
        <f>SUM(BX78-BY78+BZ78-CA78+CB78)</f>
        <v>259500</v>
      </c>
    </row>
    <row r="79" spans="1:82" ht="15.75">
      <c r="A79" s="38"/>
      <c r="B79" s="39"/>
      <c r="C79" s="39" t="s">
        <v>102</v>
      </c>
      <c r="D79" s="39"/>
      <c r="E79" s="40"/>
      <c r="F79" s="40"/>
      <c r="G79" s="40"/>
      <c r="H79" s="40">
        <v>0</v>
      </c>
      <c r="I79" s="40"/>
      <c r="J79" s="40"/>
      <c r="K79" s="40"/>
      <c r="L79" s="40">
        <f>SUM(F79-G79+H79-I79+J79)</f>
        <v>0</v>
      </c>
      <c r="M79" s="40"/>
      <c r="N79" s="40"/>
      <c r="O79" s="40"/>
      <c r="P79" s="40"/>
      <c r="Q79" s="40"/>
      <c r="R79" s="40">
        <f>SUM(L79-M79+N79-O79+P79)</f>
        <v>0</v>
      </c>
      <c r="S79" s="40"/>
      <c r="T79" s="40">
        <v>0</v>
      </c>
      <c r="U79" s="40"/>
      <c r="V79" s="40"/>
      <c r="W79" s="40"/>
      <c r="X79" s="40">
        <f>SUM(R79-S79+T79-U79+V79)</f>
        <v>0</v>
      </c>
      <c r="Y79" s="40"/>
      <c r="Z79" s="40">
        <v>0</v>
      </c>
      <c r="AA79" s="40"/>
      <c r="AB79" s="40"/>
      <c r="AC79" s="40"/>
      <c r="AD79" s="40">
        <f>SUM(X79-Y79+Z79-AA79+AB79)</f>
        <v>0</v>
      </c>
      <c r="AE79" s="40"/>
      <c r="AF79" s="203"/>
      <c r="AG79" s="40"/>
      <c r="AH79" s="40"/>
      <c r="AI79" s="40"/>
      <c r="AJ79" s="40">
        <f>SUM(AD79-AE79+AF79-AG79+AH79)</f>
        <v>0</v>
      </c>
      <c r="AK79" s="40"/>
      <c r="AL79" s="40"/>
      <c r="AM79" s="40"/>
      <c r="AN79" s="40"/>
      <c r="AO79" s="40"/>
      <c r="AP79" s="40">
        <f>SUM(AJ79-AK79+AL79-AM79+AN79)</f>
        <v>0</v>
      </c>
      <c r="AQ79" s="40"/>
      <c r="AR79" s="40"/>
      <c r="AS79" s="40"/>
      <c r="AT79" s="40"/>
      <c r="AU79" s="40"/>
      <c r="AV79" s="40">
        <f>SUM(AP79-AQ79+AR79-AS79+AT79)</f>
        <v>0</v>
      </c>
      <c r="AW79" s="40"/>
      <c r="AX79" s="40">
        <v>0</v>
      </c>
      <c r="AY79" s="40"/>
      <c r="AZ79" s="40"/>
      <c r="BA79" s="40"/>
      <c r="BB79" s="40">
        <f>SUM(AV79-AW79+AX79-AY79+AZ79)</f>
        <v>0</v>
      </c>
      <c r="BC79" s="40"/>
      <c r="BD79" s="40"/>
      <c r="BE79" s="40"/>
      <c r="BF79" s="40"/>
      <c r="BG79" s="40"/>
      <c r="BH79" s="40">
        <f>SUM(BB79-BC79+BD79-BE79+BF79)</f>
        <v>0</v>
      </c>
      <c r="BI79" s="40"/>
      <c r="BJ79" s="40"/>
      <c r="BK79" s="40"/>
      <c r="BL79" s="40"/>
      <c r="BM79" s="40"/>
      <c r="BN79" s="40">
        <f>SUM(BH79-BI79+BJ79-BK79+BL79)</f>
        <v>0</v>
      </c>
      <c r="BO79" s="40"/>
      <c r="BP79" s="40"/>
      <c r="BQ79" s="40"/>
      <c r="BR79" s="40"/>
      <c r="BS79" s="40"/>
      <c r="BT79" s="40">
        <f>SUM(BN79-BO79+BP79-BQ79+BR79)</f>
        <v>0</v>
      </c>
      <c r="BU79" s="40"/>
      <c r="BV79" s="40"/>
      <c r="BW79" s="40"/>
      <c r="BX79" s="40"/>
      <c r="BY79" s="40"/>
      <c r="BZ79" s="40">
        <f>SUM(BT79-BU79+BV79-BW79+BX79)</f>
        <v>0</v>
      </c>
      <c r="CA79" s="40"/>
      <c r="CB79" s="40"/>
      <c r="CC79" s="40"/>
      <c r="CD79" s="40">
        <f>SUM(BX79-BY79+BZ79-CA79+CB79)</f>
        <v>0</v>
      </c>
    </row>
    <row r="80" spans="1:82" ht="15.75">
      <c r="A80" s="41"/>
      <c r="B80" s="42"/>
      <c r="C80" s="42" t="s">
        <v>65</v>
      </c>
      <c r="D80" s="42"/>
      <c r="E80" s="43"/>
      <c r="F80" s="43"/>
      <c r="G80" s="43"/>
      <c r="H80" s="43">
        <v>30</v>
      </c>
      <c r="I80" s="43"/>
      <c r="J80" s="43"/>
      <c r="K80" s="43"/>
      <c r="L80" s="40">
        <f>SUM(F80-G80+H80-I80+J80)</f>
        <v>30</v>
      </c>
      <c r="M80" s="43"/>
      <c r="N80" s="43">
        <v>20</v>
      </c>
      <c r="O80" s="43"/>
      <c r="P80" s="43"/>
      <c r="Q80" s="43"/>
      <c r="R80" s="40">
        <f>SUM(L80-M80+N80-O80+P80)</f>
        <v>50</v>
      </c>
      <c r="S80" s="43"/>
      <c r="T80" s="43">
        <v>2580</v>
      </c>
      <c r="U80" s="43"/>
      <c r="V80" s="43"/>
      <c r="W80" s="43"/>
      <c r="X80" s="40">
        <f>SUM(R80-S80+T80-U80+V80)</f>
        <v>2630</v>
      </c>
      <c r="Y80" s="43"/>
      <c r="Z80" s="43">
        <f>480+75</f>
        <v>555</v>
      </c>
      <c r="AA80" s="43"/>
      <c r="AB80" s="43"/>
      <c r="AC80" s="43"/>
      <c r="AD80" s="40">
        <f>SUM(X80-Y80+Z80-AA80+AB80)</f>
        <v>3185</v>
      </c>
      <c r="AE80" s="43"/>
      <c r="AF80" s="43">
        <f>1520+95</f>
        <v>1615</v>
      </c>
      <c r="AG80" s="43"/>
      <c r="AH80" s="43"/>
      <c r="AI80" s="43"/>
      <c r="AJ80" s="40">
        <f>SUM(AD80-AE80+AF80-AG80+AH80)</f>
        <v>4800</v>
      </c>
      <c r="AK80" s="43"/>
      <c r="AL80" s="43">
        <v>740</v>
      </c>
      <c r="AM80" s="43"/>
      <c r="AN80" s="43">
        <v>10.8</v>
      </c>
      <c r="AO80" s="43"/>
      <c r="AP80" s="40">
        <f>SUM(AJ80-AK80+AL80-AM80+AN80)</f>
        <v>5550.8</v>
      </c>
      <c r="AQ80" s="43"/>
      <c r="AR80" s="43">
        <v>520</v>
      </c>
      <c r="AS80" s="43"/>
      <c r="AT80" s="43"/>
      <c r="AU80" s="43"/>
      <c r="AV80" s="40">
        <f>SUM(AP80-AQ80+AR80-AS80+AT80)</f>
        <v>6070.8</v>
      </c>
      <c r="AW80" s="43"/>
      <c r="AX80" s="43">
        <v>0</v>
      </c>
      <c r="AY80" s="43"/>
      <c r="AZ80" s="43"/>
      <c r="BA80" s="43"/>
      <c r="BB80" s="40">
        <f>SUM(AV80-AW80+AX80-AY80+AZ80)</f>
        <v>6070.8</v>
      </c>
      <c r="BC80" s="43"/>
      <c r="BD80" s="43"/>
      <c r="BE80" s="43"/>
      <c r="BF80" s="43"/>
      <c r="BG80" s="43"/>
      <c r="BH80" s="40">
        <f>SUM(BB80-BC80+BD80-BE80+BF80)</f>
        <v>6070.8</v>
      </c>
      <c r="BI80" s="43"/>
      <c r="BJ80" s="43"/>
      <c r="BK80" s="43"/>
      <c r="BL80" s="43"/>
      <c r="BM80" s="43"/>
      <c r="BN80" s="40">
        <f>SUM(BH80-BI80+BJ80-BK80+BL80)</f>
        <v>6070.8</v>
      </c>
      <c r="BO80" s="43"/>
      <c r="BP80" s="43"/>
      <c r="BQ80" s="43"/>
      <c r="BR80" s="43"/>
      <c r="BS80" s="43"/>
      <c r="BT80" s="40">
        <f>SUM(BN80-BO80+BP80-BQ80+BR80)</f>
        <v>6070.8</v>
      </c>
      <c r="BU80" s="43"/>
      <c r="BV80" s="43"/>
      <c r="BW80" s="43"/>
      <c r="BX80" s="43"/>
      <c r="BY80" s="43"/>
      <c r="BZ80" s="40">
        <f>SUM(BT80-BU80+BV80-BW80+BX80)</f>
        <v>6070.8</v>
      </c>
      <c r="CA80" s="43"/>
      <c r="CB80" s="43"/>
      <c r="CC80" s="43"/>
      <c r="CD80" s="40">
        <f>SUM(BX80-BY80+BZ80-CA80+CB80)</f>
        <v>6070.8</v>
      </c>
    </row>
    <row r="81" spans="1:84" s="168" customFormat="1" ht="15.75">
      <c r="A81" s="163"/>
      <c r="B81" s="164" t="s">
        <v>103</v>
      </c>
      <c r="C81" s="164"/>
      <c r="D81" s="164"/>
      <c r="E81" s="165">
        <f aca="true" t="shared" si="71" ref="E81:BZ81">SUM(E82)</f>
        <v>0</v>
      </c>
      <c r="F81" s="165">
        <f t="shared" si="71"/>
        <v>0</v>
      </c>
      <c r="G81" s="165">
        <f t="shared" si="71"/>
        <v>0</v>
      </c>
      <c r="H81" s="165">
        <f>SUM(H82)</f>
        <v>0</v>
      </c>
      <c r="I81" s="165">
        <f t="shared" si="71"/>
        <v>0</v>
      </c>
      <c r="J81" s="165">
        <f t="shared" si="71"/>
        <v>0</v>
      </c>
      <c r="K81" s="165">
        <f t="shared" si="71"/>
        <v>0</v>
      </c>
      <c r="L81" s="165">
        <f>SUM(L82)</f>
        <v>0</v>
      </c>
      <c r="M81" s="165">
        <f t="shared" si="71"/>
        <v>0</v>
      </c>
      <c r="N81" s="165">
        <f t="shared" si="71"/>
        <v>0</v>
      </c>
      <c r="O81" s="165"/>
      <c r="P81" s="165"/>
      <c r="Q81" s="165">
        <f t="shared" si="71"/>
        <v>0</v>
      </c>
      <c r="R81" s="165">
        <f>SUM(R82)</f>
        <v>0</v>
      </c>
      <c r="S81" s="165">
        <f t="shared" si="71"/>
        <v>0</v>
      </c>
      <c r="T81" s="165">
        <f t="shared" si="71"/>
        <v>0</v>
      </c>
      <c r="U81" s="165"/>
      <c r="V81" s="165"/>
      <c r="W81" s="165">
        <f t="shared" si="71"/>
        <v>0</v>
      </c>
      <c r="X81" s="165">
        <f>SUM(X82)</f>
        <v>0</v>
      </c>
      <c r="Y81" s="165">
        <f t="shared" si="71"/>
        <v>0</v>
      </c>
      <c r="Z81" s="165">
        <f t="shared" si="71"/>
        <v>0</v>
      </c>
      <c r="AA81" s="165"/>
      <c r="AB81" s="165"/>
      <c r="AC81" s="165">
        <f t="shared" si="71"/>
        <v>0</v>
      </c>
      <c r="AD81" s="165">
        <f t="shared" si="71"/>
        <v>0</v>
      </c>
      <c r="AE81" s="165">
        <f t="shared" si="71"/>
        <v>0</v>
      </c>
      <c r="AF81" s="205">
        <f>SUM(AF82)</f>
        <v>0</v>
      </c>
      <c r="AG81" s="165"/>
      <c r="AH81" s="165"/>
      <c r="AI81" s="165">
        <f t="shared" si="71"/>
        <v>0</v>
      </c>
      <c r="AJ81" s="165">
        <f>SUM(AJ82)</f>
        <v>0</v>
      </c>
      <c r="AK81" s="165">
        <f t="shared" si="71"/>
        <v>0</v>
      </c>
      <c r="AL81" s="165">
        <f t="shared" si="71"/>
        <v>0</v>
      </c>
      <c r="AM81" s="166"/>
      <c r="AN81" s="166"/>
      <c r="AO81" s="165">
        <f t="shared" si="71"/>
        <v>0</v>
      </c>
      <c r="AP81" s="165">
        <f t="shared" si="71"/>
        <v>0</v>
      </c>
      <c r="AQ81" s="165">
        <f t="shared" si="71"/>
        <v>0</v>
      </c>
      <c r="AR81" s="165">
        <f>SUM(AR82)</f>
        <v>144080</v>
      </c>
      <c r="AS81" s="165"/>
      <c r="AT81" s="165"/>
      <c r="AU81" s="165">
        <f t="shared" si="71"/>
        <v>0</v>
      </c>
      <c r="AV81" s="165">
        <f>SUM(AV82)</f>
        <v>144080</v>
      </c>
      <c r="AW81" s="165">
        <f t="shared" si="71"/>
        <v>0</v>
      </c>
      <c r="AX81" s="165">
        <f t="shared" si="71"/>
        <v>0</v>
      </c>
      <c r="AY81" s="165">
        <f t="shared" si="71"/>
        <v>0</v>
      </c>
      <c r="AZ81" s="165">
        <f t="shared" si="71"/>
        <v>0</v>
      </c>
      <c r="BA81" s="165">
        <f t="shared" si="71"/>
        <v>0</v>
      </c>
      <c r="BB81" s="165">
        <f>SUM(BB82)</f>
        <v>144080</v>
      </c>
      <c r="BC81" s="165">
        <f t="shared" si="71"/>
        <v>0</v>
      </c>
      <c r="BD81" s="165">
        <f t="shared" si="71"/>
        <v>0</v>
      </c>
      <c r="BE81" s="165"/>
      <c r="BF81" s="165"/>
      <c r="BG81" s="165">
        <f>SUM(BG82)</f>
        <v>0</v>
      </c>
      <c r="BH81" s="165">
        <f>SUM(BH82)</f>
        <v>144080</v>
      </c>
      <c r="BI81" s="165">
        <f t="shared" si="71"/>
        <v>0</v>
      </c>
      <c r="BJ81" s="165">
        <f t="shared" si="71"/>
        <v>0</v>
      </c>
      <c r="BK81" s="165"/>
      <c r="BL81" s="165"/>
      <c r="BM81" s="165">
        <f t="shared" si="71"/>
        <v>0</v>
      </c>
      <c r="BN81" s="165">
        <f t="shared" si="71"/>
        <v>144080</v>
      </c>
      <c r="BO81" s="165">
        <f t="shared" si="71"/>
        <v>0</v>
      </c>
      <c r="BP81" s="165">
        <f>SUM(BP82)</f>
        <v>0</v>
      </c>
      <c r="BQ81" s="165"/>
      <c r="BR81" s="165"/>
      <c r="BS81" s="165">
        <f t="shared" si="71"/>
        <v>0</v>
      </c>
      <c r="BT81" s="165">
        <f>SUM(BT82)</f>
        <v>144080</v>
      </c>
      <c r="BU81" s="165">
        <f t="shared" si="71"/>
        <v>0</v>
      </c>
      <c r="BV81" s="165">
        <f t="shared" si="71"/>
        <v>0</v>
      </c>
      <c r="BW81" s="165"/>
      <c r="BX81" s="165"/>
      <c r="BY81" s="165">
        <f t="shared" si="71"/>
        <v>0</v>
      </c>
      <c r="BZ81" s="165">
        <f t="shared" si="71"/>
        <v>144080</v>
      </c>
      <c r="CA81" s="166">
        <f>SUM(CA82)</f>
        <v>0</v>
      </c>
      <c r="CB81" s="166">
        <f>SUM(CB82)</f>
        <v>0</v>
      </c>
      <c r="CC81" s="165">
        <f>SUM(CC82)</f>
        <v>0</v>
      </c>
      <c r="CD81" s="165">
        <f>SUM(CD82)</f>
        <v>144080</v>
      </c>
      <c r="CE81" s="167"/>
      <c r="CF81" s="167"/>
    </row>
    <row r="82" spans="1:82" ht="15.75">
      <c r="A82" s="13"/>
      <c r="B82" s="28"/>
      <c r="C82" s="28" t="s">
        <v>104</v>
      </c>
      <c r="D82" s="28"/>
      <c r="E82" s="12"/>
      <c r="F82" s="12"/>
      <c r="G82" s="12"/>
      <c r="H82" s="12">
        <v>0</v>
      </c>
      <c r="I82" s="12"/>
      <c r="J82" s="12"/>
      <c r="K82" s="12"/>
      <c r="L82" s="12">
        <f>SUM(F82-G82+H82-I82+J82)</f>
        <v>0</v>
      </c>
      <c r="M82" s="12"/>
      <c r="N82" s="12"/>
      <c r="O82" s="12"/>
      <c r="P82" s="12"/>
      <c r="Q82" s="12"/>
      <c r="R82" s="12">
        <f>SUM(L82-M82+N82-O82+P82)</f>
        <v>0</v>
      </c>
      <c r="S82" s="12"/>
      <c r="T82" s="12">
        <v>0</v>
      </c>
      <c r="U82" s="12"/>
      <c r="V82" s="12"/>
      <c r="W82" s="12"/>
      <c r="X82" s="12">
        <f>SUM(R82-S82+T82-U82+V82)</f>
        <v>0</v>
      </c>
      <c r="Y82" s="12"/>
      <c r="Z82" s="12">
        <v>0</v>
      </c>
      <c r="AA82" s="12"/>
      <c r="AB82" s="12"/>
      <c r="AC82" s="12"/>
      <c r="AD82" s="12">
        <f>SUM(X82-Y82+Z82-AA82+AB82)</f>
        <v>0</v>
      </c>
      <c r="AE82" s="12"/>
      <c r="AF82" s="200"/>
      <c r="AG82" s="12"/>
      <c r="AH82" s="12"/>
      <c r="AI82" s="12"/>
      <c r="AJ82" s="12">
        <f>SUM(AD82-AE82+AF82-AG82+AH82)</f>
        <v>0</v>
      </c>
      <c r="AK82" s="12"/>
      <c r="AL82" s="12"/>
      <c r="AM82" s="12"/>
      <c r="AN82" s="12"/>
      <c r="AO82" s="12"/>
      <c r="AP82" s="12">
        <f>SUM(AJ82-AK82+AL82-AM82+AN82)</f>
        <v>0</v>
      </c>
      <c r="AQ82" s="12"/>
      <c r="AR82" s="12">
        <v>144080</v>
      </c>
      <c r="AS82" s="12"/>
      <c r="AT82" s="12"/>
      <c r="AU82" s="12"/>
      <c r="AV82" s="12">
        <f>SUM(AP82-AQ82+AR82-AS82+AT82)</f>
        <v>144080</v>
      </c>
      <c r="AW82" s="12"/>
      <c r="AX82" s="12">
        <v>0</v>
      </c>
      <c r="AY82" s="12"/>
      <c r="AZ82" s="12"/>
      <c r="BA82" s="12"/>
      <c r="BB82" s="12">
        <f>SUM(AV82-AW82+AX82-AY82+AZ82)</f>
        <v>144080</v>
      </c>
      <c r="BC82" s="12"/>
      <c r="BD82" s="12">
        <v>0</v>
      </c>
      <c r="BE82" s="12"/>
      <c r="BF82" s="12"/>
      <c r="BG82" s="12"/>
      <c r="BH82" s="12">
        <f>SUM(BB82-BC82+BD82-BE82+BF82)</f>
        <v>144080</v>
      </c>
      <c r="BI82" s="12"/>
      <c r="BJ82" s="12"/>
      <c r="BK82" s="12"/>
      <c r="BL82" s="12"/>
      <c r="BM82" s="12"/>
      <c r="BN82" s="12">
        <f>SUM(BH82-BI82+BJ82-BK82+BL82)</f>
        <v>144080</v>
      </c>
      <c r="BO82" s="12"/>
      <c r="BP82" s="12"/>
      <c r="BQ82" s="12"/>
      <c r="BR82" s="12"/>
      <c r="BS82" s="12"/>
      <c r="BT82" s="12">
        <f>SUM(BN82-BO82+BP82-BQ82+BR82)</f>
        <v>144080</v>
      </c>
      <c r="BU82" s="12"/>
      <c r="BV82" s="12">
        <v>0</v>
      </c>
      <c r="BW82" s="12"/>
      <c r="BX82" s="12"/>
      <c r="BY82" s="12"/>
      <c r="BZ82" s="12">
        <f>SUM(BT82-BU82+BV82-BW82+BX82)</f>
        <v>144080</v>
      </c>
      <c r="CA82" s="12">
        <v>0</v>
      </c>
      <c r="CB82" s="12"/>
      <c r="CC82" s="12"/>
      <c r="CD82" s="12">
        <f>SUM(BX82-BY82+BZ82-CA82+CB82)</f>
        <v>144080</v>
      </c>
    </row>
    <row r="83" spans="1:84" s="168" customFormat="1" ht="15.75">
      <c r="A83" s="153" t="s">
        <v>105</v>
      </c>
      <c r="B83" s="154"/>
      <c r="C83" s="154"/>
      <c r="D83" s="154"/>
      <c r="E83" s="155">
        <f>SUM(E84)</f>
        <v>0</v>
      </c>
      <c r="F83" s="155">
        <f aca="true" t="shared" si="72" ref="F83:BQ83">SUM(F84)</f>
        <v>0</v>
      </c>
      <c r="G83" s="155">
        <f t="shared" si="72"/>
        <v>0</v>
      </c>
      <c r="H83" s="155">
        <f t="shared" si="72"/>
        <v>1469142.43</v>
      </c>
      <c r="I83" s="155">
        <f t="shared" si="72"/>
        <v>0</v>
      </c>
      <c r="J83" s="155">
        <f t="shared" si="72"/>
        <v>0</v>
      </c>
      <c r="K83" s="155">
        <f t="shared" si="72"/>
        <v>0</v>
      </c>
      <c r="L83" s="155">
        <f t="shared" si="72"/>
        <v>1469142.43</v>
      </c>
      <c r="M83" s="155">
        <f t="shared" si="72"/>
        <v>0</v>
      </c>
      <c r="N83" s="155">
        <f t="shared" si="72"/>
        <v>1603010.5100000002</v>
      </c>
      <c r="O83" s="155">
        <f t="shared" si="72"/>
        <v>0</v>
      </c>
      <c r="P83" s="155">
        <f t="shared" si="72"/>
        <v>0</v>
      </c>
      <c r="Q83" s="155">
        <f t="shared" si="72"/>
        <v>0</v>
      </c>
      <c r="R83" s="155">
        <f t="shared" si="72"/>
        <v>3072152.94</v>
      </c>
      <c r="S83" s="155">
        <f t="shared" si="72"/>
        <v>0</v>
      </c>
      <c r="T83" s="155">
        <f t="shared" si="72"/>
        <v>595484.34</v>
      </c>
      <c r="U83" s="155">
        <f t="shared" si="72"/>
        <v>0</v>
      </c>
      <c r="V83" s="155">
        <f t="shared" si="72"/>
        <v>0</v>
      </c>
      <c r="W83" s="155">
        <f t="shared" si="72"/>
        <v>0</v>
      </c>
      <c r="X83" s="155">
        <f t="shared" si="72"/>
        <v>3667637.2800000003</v>
      </c>
      <c r="Y83" s="155">
        <f t="shared" si="72"/>
        <v>0</v>
      </c>
      <c r="Z83" s="155">
        <f t="shared" si="72"/>
        <v>1495167.4000000001</v>
      </c>
      <c r="AA83" s="155">
        <f t="shared" si="72"/>
        <v>0</v>
      </c>
      <c r="AB83" s="155">
        <f t="shared" si="72"/>
        <v>0</v>
      </c>
      <c r="AC83" s="155">
        <f t="shared" si="72"/>
        <v>0</v>
      </c>
      <c r="AD83" s="155">
        <f t="shared" si="72"/>
        <v>5162804.680000001</v>
      </c>
      <c r="AE83" s="155">
        <f t="shared" si="72"/>
        <v>0</v>
      </c>
      <c r="AF83" s="155">
        <f>SUM(AF84)</f>
        <v>1411122.75</v>
      </c>
      <c r="AG83" s="155">
        <f t="shared" si="72"/>
        <v>0</v>
      </c>
      <c r="AH83" s="155">
        <f t="shared" si="72"/>
        <v>0</v>
      </c>
      <c r="AI83" s="155">
        <f t="shared" si="72"/>
        <v>0</v>
      </c>
      <c r="AJ83" s="155">
        <f t="shared" si="72"/>
        <v>6573927.43</v>
      </c>
      <c r="AK83" s="155">
        <f t="shared" si="72"/>
        <v>0</v>
      </c>
      <c r="AL83" s="155">
        <f t="shared" si="72"/>
        <v>1259378.6199999999</v>
      </c>
      <c r="AM83" s="156">
        <f t="shared" si="72"/>
        <v>0</v>
      </c>
      <c r="AN83" s="156">
        <f t="shared" si="72"/>
        <v>0</v>
      </c>
      <c r="AO83" s="155">
        <f t="shared" si="72"/>
        <v>0</v>
      </c>
      <c r="AP83" s="155">
        <f t="shared" si="72"/>
        <v>7833306.05</v>
      </c>
      <c r="AQ83" s="155">
        <f t="shared" si="72"/>
        <v>0</v>
      </c>
      <c r="AR83" s="155">
        <f t="shared" si="72"/>
        <v>1431253.17</v>
      </c>
      <c r="AS83" s="155">
        <f t="shared" si="72"/>
        <v>0</v>
      </c>
      <c r="AT83" s="155">
        <f t="shared" si="72"/>
        <v>0</v>
      </c>
      <c r="AU83" s="155">
        <f t="shared" si="72"/>
        <v>0</v>
      </c>
      <c r="AV83" s="155">
        <f t="shared" si="72"/>
        <v>9264559.22</v>
      </c>
      <c r="AW83" s="155">
        <f t="shared" si="72"/>
        <v>0</v>
      </c>
      <c r="AX83" s="155">
        <f t="shared" si="72"/>
        <v>2113376.23</v>
      </c>
      <c r="AY83" s="155">
        <f t="shared" si="72"/>
        <v>0</v>
      </c>
      <c r="AZ83" s="155">
        <f t="shared" si="72"/>
        <v>0</v>
      </c>
      <c r="BA83" s="155">
        <f t="shared" si="72"/>
        <v>0</v>
      </c>
      <c r="BB83" s="155">
        <f t="shared" si="72"/>
        <v>11377935.450000001</v>
      </c>
      <c r="BC83" s="155">
        <f t="shared" si="72"/>
        <v>0</v>
      </c>
      <c r="BD83" s="155">
        <f>SUM(BD84)</f>
        <v>0</v>
      </c>
      <c r="BE83" s="155">
        <f t="shared" si="72"/>
        <v>0</v>
      </c>
      <c r="BF83" s="155">
        <f t="shared" si="72"/>
        <v>0</v>
      </c>
      <c r="BG83" s="155">
        <f>SUM(BG84)</f>
        <v>0</v>
      </c>
      <c r="BH83" s="155">
        <f>SUM(BH84)</f>
        <v>11377935.450000001</v>
      </c>
      <c r="BI83" s="155">
        <f t="shared" si="72"/>
        <v>0</v>
      </c>
      <c r="BJ83" s="155">
        <f t="shared" si="72"/>
        <v>0</v>
      </c>
      <c r="BK83" s="155">
        <f t="shared" si="72"/>
        <v>0</v>
      </c>
      <c r="BL83" s="155">
        <f t="shared" si="72"/>
        <v>0</v>
      </c>
      <c r="BM83" s="155">
        <f t="shared" si="72"/>
        <v>0</v>
      </c>
      <c r="BN83" s="155">
        <f>SUM(BN84)</f>
        <v>11377935.450000001</v>
      </c>
      <c r="BO83" s="155">
        <f t="shared" si="72"/>
        <v>0</v>
      </c>
      <c r="BP83" s="155">
        <f t="shared" si="72"/>
        <v>0</v>
      </c>
      <c r="BQ83" s="155">
        <f t="shared" si="72"/>
        <v>0</v>
      </c>
      <c r="BR83" s="155">
        <f aca="true" t="shared" si="73" ref="BR83:CD83">SUM(BR84)</f>
        <v>0</v>
      </c>
      <c r="BS83" s="155">
        <f t="shared" si="73"/>
        <v>0</v>
      </c>
      <c r="BT83" s="155">
        <f t="shared" si="73"/>
        <v>11377935.450000001</v>
      </c>
      <c r="BU83" s="155">
        <f t="shared" si="73"/>
        <v>0</v>
      </c>
      <c r="BV83" s="155">
        <f t="shared" si="73"/>
        <v>0</v>
      </c>
      <c r="BW83" s="155">
        <f t="shared" si="73"/>
        <v>0</v>
      </c>
      <c r="BX83" s="155">
        <f t="shared" si="73"/>
        <v>0</v>
      </c>
      <c r="BY83" s="155">
        <f t="shared" si="73"/>
        <v>0</v>
      </c>
      <c r="BZ83" s="155">
        <f t="shared" si="73"/>
        <v>11377935.450000001</v>
      </c>
      <c r="CA83" s="156">
        <f t="shared" si="73"/>
        <v>0</v>
      </c>
      <c r="CB83" s="156">
        <f t="shared" si="73"/>
        <v>0</v>
      </c>
      <c r="CC83" s="155">
        <f t="shared" si="73"/>
        <v>0</v>
      </c>
      <c r="CD83" s="155">
        <f t="shared" si="73"/>
        <v>11377935.450000001</v>
      </c>
      <c r="CE83" s="167"/>
      <c r="CF83" s="167"/>
    </row>
    <row r="84" spans="1:84" s="168" customFormat="1" ht="15.75">
      <c r="A84" s="159"/>
      <c r="B84" s="160" t="s">
        <v>106</v>
      </c>
      <c r="C84" s="160"/>
      <c r="D84" s="160"/>
      <c r="E84" s="161">
        <f aca="true" t="shared" si="74" ref="E84:M84">SUM(E85:E93)</f>
        <v>0</v>
      </c>
      <c r="F84" s="161">
        <f t="shared" si="74"/>
        <v>0</v>
      </c>
      <c r="G84" s="161">
        <f t="shared" si="74"/>
        <v>0</v>
      </c>
      <c r="H84" s="161">
        <f>SUM(H85:H93)</f>
        <v>1469142.43</v>
      </c>
      <c r="I84" s="161">
        <f t="shared" si="74"/>
        <v>0</v>
      </c>
      <c r="J84" s="161">
        <f t="shared" si="74"/>
        <v>0</v>
      </c>
      <c r="K84" s="161">
        <f t="shared" si="74"/>
        <v>0</v>
      </c>
      <c r="L84" s="161">
        <f>SUM(L85:L93)</f>
        <v>1469142.43</v>
      </c>
      <c r="M84" s="161">
        <f t="shared" si="74"/>
        <v>0</v>
      </c>
      <c r="N84" s="161">
        <f>SUM(N85:N93)</f>
        <v>1603010.5100000002</v>
      </c>
      <c r="O84" s="161"/>
      <c r="P84" s="161"/>
      <c r="Q84" s="161">
        <f>SUM(Q85:Q93)</f>
        <v>0</v>
      </c>
      <c r="R84" s="161">
        <f>SUM(R85:R93)</f>
        <v>3072152.94</v>
      </c>
      <c r="S84" s="161">
        <f>SUM(S85:S93)</f>
        <v>0</v>
      </c>
      <c r="T84" s="161">
        <f>SUM(T85:T93)</f>
        <v>595484.34</v>
      </c>
      <c r="U84" s="161"/>
      <c r="V84" s="161"/>
      <c r="W84" s="161">
        <f>SUM(W85:W93)</f>
        <v>0</v>
      </c>
      <c r="X84" s="161">
        <f>SUM(X85:X93)</f>
        <v>3667637.2800000003</v>
      </c>
      <c r="Y84" s="161">
        <f>SUM(Y85:Y93)</f>
        <v>0</v>
      </c>
      <c r="Z84" s="161">
        <f>SUM(Z85:Z93)</f>
        <v>1495167.4000000001</v>
      </c>
      <c r="AA84" s="161"/>
      <c r="AB84" s="161"/>
      <c r="AC84" s="161">
        <f>SUM(AC85:AC93)</f>
        <v>0</v>
      </c>
      <c r="AD84" s="161">
        <f>SUM(AD85:AD93)</f>
        <v>5162804.680000001</v>
      </c>
      <c r="AE84" s="161">
        <f>SUM(AE85:AE93)</f>
        <v>0</v>
      </c>
      <c r="AF84" s="161">
        <f>SUM(AF85:AF93)</f>
        <v>1411122.75</v>
      </c>
      <c r="AG84" s="161"/>
      <c r="AH84" s="161"/>
      <c r="AI84" s="161">
        <f>SUM(AI85:AI93)</f>
        <v>0</v>
      </c>
      <c r="AJ84" s="161">
        <f>SUM(AJ85:AJ93)</f>
        <v>6573927.43</v>
      </c>
      <c r="AK84" s="161">
        <f>SUM(AK85:AK93)</f>
        <v>0</v>
      </c>
      <c r="AL84" s="161">
        <f>SUM(AL85:AL93)</f>
        <v>1259378.6199999999</v>
      </c>
      <c r="AM84" s="162"/>
      <c r="AN84" s="162"/>
      <c r="AO84" s="161">
        <f>SUM(AO85:AO93)</f>
        <v>0</v>
      </c>
      <c r="AP84" s="161">
        <f>SUM(AP85:AP93)</f>
        <v>7833306.05</v>
      </c>
      <c r="AQ84" s="161">
        <f>SUM(AQ85:AQ93)</f>
        <v>0</v>
      </c>
      <c r="AR84" s="161">
        <f>SUM(AR85:AR93)</f>
        <v>1431253.17</v>
      </c>
      <c r="AS84" s="161"/>
      <c r="AT84" s="161"/>
      <c r="AU84" s="161">
        <f aca="true" t="shared" si="75" ref="AU84:BC84">SUM(AU85:AU93)</f>
        <v>0</v>
      </c>
      <c r="AV84" s="161">
        <f>SUM(AV85:AV93)</f>
        <v>9264559.22</v>
      </c>
      <c r="AW84" s="161">
        <f t="shared" si="75"/>
        <v>0</v>
      </c>
      <c r="AX84" s="161">
        <f>SUM(AX85:AX93)</f>
        <v>2113376.23</v>
      </c>
      <c r="AY84" s="161">
        <f t="shared" si="75"/>
        <v>0</v>
      </c>
      <c r="AZ84" s="161">
        <f t="shared" si="75"/>
        <v>0</v>
      </c>
      <c r="BA84" s="161">
        <f t="shared" si="75"/>
        <v>0</v>
      </c>
      <c r="BB84" s="161">
        <f>SUM(BB85:BB93)</f>
        <v>11377935.450000001</v>
      </c>
      <c r="BC84" s="161">
        <f t="shared" si="75"/>
        <v>0</v>
      </c>
      <c r="BD84" s="161">
        <f>SUM(BD85:BD93)</f>
        <v>0</v>
      </c>
      <c r="BE84" s="161"/>
      <c r="BF84" s="161"/>
      <c r="BG84" s="161">
        <f>SUM(BG85:BG93)</f>
        <v>0</v>
      </c>
      <c r="BH84" s="161">
        <f>SUM(BH85:BH93)</f>
        <v>11377935.450000001</v>
      </c>
      <c r="BI84" s="161">
        <f>SUM(BI85:BI93)</f>
        <v>0</v>
      </c>
      <c r="BJ84" s="161">
        <f>SUM(BJ85:BJ93)</f>
        <v>0</v>
      </c>
      <c r="BK84" s="161"/>
      <c r="BL84" s="161"/>
      <c r="BM84" s="161">
        <f>SUM(BM85:BM93)</f>
        <v>0</v>
      </c>
      <c r="BN84" s="161">
        <f>SUM(BN85:BN93)</f>
        <v>11377935.450000001</v>
      </c>
      <c r="BO84" s="161">
        <f>SUM(BO85:BO93)</f>
        <v>0</v>
      </c>
      <c r="BP84" s="161">
        <f>SUM(BP85:BP93)</f>
        <v>0</v>
      </c>
      <c r="BQ84" s="161"/>
      <c r="BR84" s="161"/>
      <c r="BS84" s="161">
        <f>SUM(BS85:BS93)</f>
        <v>0</v>
      </c>
      <c r="BT84" s="161">
        <f>SUM(BT85:BT93)</f>
        <v>11377935.450000001</v>
      </c>
      <c r="BU84" s="161">
        <f>SUM(BU85:BU93)</f>
        <v>0</v>
      </c>
      <c r="BV84" s="161">
        <f>SUM(BV85:BV93)</f>
        <v>0</v>
      </c>
      <c r="BW84" s="161"/>
      <c r="BX84" s="161"/>
      <c r="BY84" s="161">
        <f>SUM(BY85:BY93)</f>
        <v>0</v>
      </c>
      <c r="BZ84" s="161">
        <f>SUM(BZ85:BZ93)</f>
        <v>11377935.450000001</v>
      </c>
      <c r="CA84" s="162">
        <f>SUM(CA85:CA93)</f>
        <v>0</v>
      </c>
      <c r="CB84" s="162">
        <f>SUM(CB85:CB93)</f>
        <v>0</v>
      </c>
      <c r="CC84" s="161">
        <f>SUM(CC85:CC93)</f>
        <v>0</v>
      </c>
      <c r="CD84" s="161">
        <f>SUM(CD85:CD93)</f>
        <v>11377935.450000001</v>
      </c>
      <c r="CE84" s="167"/>
      <c r="CF84" s="167"/>
    </row>
    <row r="85" spans="1:82" ht="15.75">
      <c r="A85" s="35"/>
      <c r="B85" s="36"/>
      <c r="C85" s="36" t="s">
        <v>287</v>
      </c>
      <c r="D85" s="36"/>
      <c r="E85" s="37"/>
      <c r="F85" s="37"/>
      <c r="G85" s="37"/>
      <c r="H85" s="37">
        <v>815754.09</v>
      </c>
      <c r="I85" s="37"/>
      <c r="J85" s="37"/>
      <c r="K85" s="37"/>
      <c r="L85" s="37">
        <f aca="true" t="shared" si="76" ref="L85:L93">SUM(F85-G85+H85-I85+J85)</f>
        <v>815754.09</v>
      </c>
      <c r="M85" s="37"/>
      <c r="N85" s="37">
        <v>651967.56</v>
      </c>
      <c r="O85" s="37"/>
      <c r="P85" s="37"/>
      <c r="Q85" s="37"/>
      <c r="R85" s="37">
        <f aca="true" t="shared" si="77" ref="R85:R93">SUM(L85-M85+N85-O85+P85)</f>
        <v>1467721.65</v>
      </c>
      <c r="S85" s="37"/>
      <c r="T85" s="37">
        <v>0</v>
      </c>
      <c r="U85" s="37"/>
      <c r="V85" s="37"/>
      <c r="W85" s="37"/>
      <c r="X85" s="37">
        <f aca="true" t="shared" si="78" ref="X85:X93">SUM(R85-S85+T85-U85+V85)</f>
        <v>1467721.65</v>
      </c>
      <c r="Y85" s="37"/>
      <c r="Z85" s="37">
        <v>661629.75</v>
      </c>
      <c r="AA85" s="37"/>
      <c r="AB85" s="37"/>
      <c r="AC85" s="37"/>
      <c r="AD85" s="37">
        <f aca="true" t="shared" si="79" ref="AD85:AD93">SUM(X85-Y85+Z85-AA85+AB85)</f>
        <v>2129351.4</v>
      </c>
      <c r="AE85" s="37"/>
      <c r="AF85" s="37">
        <v>628023.47</v>
      </c>
      <c r="AG85" s="37"/>
      <c r="AH85" s="37"/>
      <c r="AI85" s="37"/>
      <c r="AJ85" s="37">
        <f aca="true" t="shared" si="80" ref="AJ85:AJ93">SUM(AD85-AE85+AF85-AG85+AH85)</f>
        <v>2757374.87</v>
      </c>
      <c r="AK85" s="37"/>
      <c r="AL85" s="37">
        <v>605665.98</v>
      </c>
      <c r="AM85" s="37"/>
      <c r="AN85" s="37"/>
      <c r="AO85" s="37"/>
      <c r="AP85" s="37">
        <f aca="true" t="shared" si="81" ref="AP85:AP93">SUM(AJ85-AK85+AL85-AM85+AN85)</f>
        <v>3363040.85</v>
      </c>
      <c r="AQ85" s="37"/>
      <c r="AR85" s="37">
        <v>635702.19</v>
      </c>
      <c r="AS85" s="37"/>
      <c r="AT85" s="37"/>
      <c r="AU85" s="37"/>
      <c r="AV85" s="37">
        <f aca="true" t="shared" si="82" ref="AV85:AV93">SUM(AP85-AQ85+AR85-AS85+AT85)</f>
        <v>3998743.04</v>
      </c>
      <c r="AW85" s="37"/>
      <c r="AX85" s="37">
        <v>1348012.03</v>
      </c>
      <c r="AY85" s="37"/>
      <c r="AZ85" s="37"/>
      <c r="BA85" s="37"/>
      <c r="BB85" s="37">
        <f aca="true" t="shared" si="83" ref="BB85:BB93">SUM(AV85-AW85+AX85-AY85+AZ85)</f>
        <v>5346755.07</v>
      </c>
      <c r="BC85" s="37"/>
      <c r="BD85" s="37"/>
      <c r="BE85" s="37"/>
      <c r="BF85" s="37"/>
      <c r="BG85" s="37"/>
      <c r="BH85" s="37">
        <f aca="true" t="shared" si="84" ref="BH85:BH93">SUM(BB85-BC85+BD85-BE85+BF85)</f>
        <v>5346755.07</v>
      </c>
      <c r="BI85" s="37"/>
      <c r="BJ85" s="37"/>
      <c r="BK85" s="37"/>
      <c r="BL85" s="37"/>
      <c r="BM85" s="37"/>
      <c r="BN85" s="37">
        <f aca="true" t="shared" si="85" ref="BN85:BN93">SUM(BH85-BI85+BJ85-BK85+BL85)</f>
        <v>5346755.07</v>
      </c>
      <c r="BO85" s="37"/>
      <c r="BP85" s="37"/>
      <c r="BQ85" s="37"/>
      <c r="BR85" s="37"/>
      <c r="BS85" s="37"/>
      <c r="BT85" s="37">
        <f aca="true" t="shared" si="86" ref="BT85:BT93">SUM(BN85-BO85+BP85-BQ85+BR85)</f>
        <v>5346755.07</v>
      </c>
      <c r="BU85" s="37"/>
      <c r="BV85" s="37"/>
      <c r="BW85" s="37"/>
      <c r="BX85" s="37"/>
      <c r="BY85" s="37"/>
      <c r="BZ85" s="37">
        <f aca="true" t="shared" si="87" ref="BZ85:BZ93">SUM(BT85-BU85+BV85-BW85+BX85)</f>
        <v>5346755.07</v>
      </c>
      <c r="CA85" s="37"/>
      <c r="CB85" s="37"/>
      <c r="CC85" s="37"/>
      <c r="CD85" s="14">
        <f>SUM(BX85-BY85+BZ85-CA85+CB85)</f>
        <v>5346755.07</v>
      </c>
    </row>
    <row r="86" spans="1:82" ht="15.75">
      <c r="A86" s="38"/>
      <c r="B86" s="39"/>
      <c r="C86" s="39" t="s">
        <v>66</v>
      </c>
      <c r="D86" s="39"/>
      <c r="E86" s="40"/>
      <c r="F86" s="40"/>
      <c r="G86" s="40"/>
      <c r="H86" s="40">
        <v>286291.75</v>
      </c>
      <c r="I86" s="40"/>
      <c r="J86" s="40"/>
      <c r="K86" s="40"/>
      <c r="L86" s="40">
        <f t="shared" si="76"/>
        <v>286291.75</v>
      </c>
      <c r="M86" s="40"/>
      <c r="N86" s="40">
        <v>282162.15</v>
      </c>
      <c r="O86" s="40"/>
      <c r="P86" s="40"/>
      <c r="Q86" s="40"/>
      <c r="R86" s="40">
        <f t="shared" si="77"/>
        <v>568453.9</v>
      </c>
      <c r="S86" s="40"/>
      <c r="T86" s="40">
        <v>237606.86</v>
      </c>
      <c r="U86" s="40"/>
      <c r="V86" s="40"/>
      <c r="W86" s="40"/>
      <c r="X86" s="40">
        <f t="shared" si="78"/>
        <v>806060.76</v>
      </c>
      <c r="Y86" s="40"/>
      <c r="Z86" s="40">
        <v>264540.09</v>
      </c>
      <c r="AA86" s="40"/>
      <c r="AB86" s="40"/>
      <c r="AC86" s="40"/>
      <c r="AD86" s="40">
        <f t="shared" si="79"/>
        <v>1070600.85</v>
      </c>
      <c r="AE86" s="40"/>
      <c r="AF86" s="40">
        <v>320795.32</v>
      </c>
      <c r="AG86" s="40"/>
      <c r="AH86" s="40"/>
      <c r="AI86" s="40"/>
      <c r="AJ86" s="40">
        <f t="shared" si="80"/>
        <v>1391396.1700000002</v>
      </c>
      <c r="AK86" s="40"/>
      <c r="AL86" s="40">
        <v>266578.98</v>
      </c>
      <c r="AM86" s="40"/>
      <c r="AN86" s="40"/>
      <c r="AO86" s="40"/>
      <c r="AP86" s="40">
        <f t="shared" si="81"/>
        <v>1657975.1500000001</v>
      </c>
      <c r="AQ86" s="40"/>
      <c r="AR86" s="40">
        <v>259822.27</v>
      </c>
      <c r="AS86" s="40"/>
      <c r="AT86" s="40"/>
      <c r="AU86" s="40"/>
      <c r="AV86" s="40">
        <f t="shared" si="82"/>
        <v>1917797.4200000002</v>
      </c>
      <c r="AW86" s="40"/>
      <c r="AX86" s="40">
        <v>292446.6</v>
      </c>
      <c r="AY86" s="40"/>
      <c r="AZ86" s="40"/>
      <c r="BA86" s="40"/>
      <c r="BB86" s="40">
        <f t="shared" si="83"/>
        <v>2210244.02</v>
      </c>
      <c r="BC86" s="40"/>
      <c r="BD86" s="40"/>
      <c r="BE86" s="40"/>
      <c r="BF86" s="40"/>
      <c r="BG86" s="40"/>
      <c r="BH86" s="40">
        <f t="shared" si="84"/>
        <v>2210244.02</v>
      </c>
      <c r="BI86" s="40"/>
      <c r="BJ86" s="40"/>
      <c r="BK86" s="40"/>
      <c r="BL86" s="40"/>
      <c r="BM86" s="40"/>
      <c r="BN86" s="40">
        <f t="shared" si="85"/>
        <v>2210244.02</v>
      </c>
      <c r="BO86" s="40"/>
      <c r="BP86" s="40"/>
      <c r="BQ86" s="40"/>
      <c r="BR86" s="40"/>
      <c r="BS86" s="40"/>
      <c r="BT86" s="40">
        <f t="shared" si="86"/>
        <v>2210244.02</v>
      </c>
      <c r="BU86" s="40"/>
      <c r="BV86" s="40"/>
      <c r="BW86" s="40"/>
      <c r="BX86" s="40"/>
      <c r="BY86" s="40"/>
      <c r="BZ86" s="40">
        <f t="shared" si="87"/>
        <v>2210244.02</v>
      </c>
      <c r="CA86" s="40"/>
      <c r="CB86" s="40"/>
      <c r="CC86" s="40"/>
      <c r="CD86" s="40">
        <f>+BZ86-CA86</f>
        <v>2210244.02</v>
      </c>
    </row>
    <row r="87" spans="1:82" ht="15.75">
      <c r="A87" s="38"/>
      <c r="B87" s="39"/>
      <c r="C87" s="39" t="s">
        <v>46</v>
      </c>
      <c r="D87" s="39"/>
      <c r="E87" s="40"/>
      <c r="F87" s="40"/>
      <c r="G87" s="40"/>
      <c r="H87" s="40">
        <v>34816.18</v>
      </c>
      <c r="I87" s="40"/>
      <c r="J87" s="40"/>
      <c r="K87" s="40"/>
      <c r="L87" s="40">
        <f t="shared" si="76"/>
        <v>34816.18</v>
      </c>
      <c r="M87" s="40"/>
      <c r="N87" s="40">
        <v>0</v>
      </c>
      <c r="O87" s="40"/>
      <c r="P87" s="40"/>
      <c r="Q87" s="40"/>
      <c r="R87" s="40">
        <f t="shared" si="77"/>
        <v>34816.18</v>
      </c>
      <c r="S87" s="40"/>
      <c r="T87" s="40">
        <v>0</v>
      </c>
      <c r="U87" s="40"/>
      <c r="V87" s="40"/>
      <c r="W87" s="40"/>
      <c r="X87" s="40">
        <f t="shared" si="78"/>
        <v>34816.18</v>
      </c>
      <c r="Y87" s="40"/>
      <c r="Z87" s="40">
        <v>39144</v>
      </c>
      <c r="AA87" s="40"/>
      <c r="AB87" s="40"/>
      <c r="AC87" s="40"/>
      <c r="AD87" s="40">
        <f t="shared" si="79"/>
        <v>73960.18</v>
      </c>
      <c r="AE87" s="40"/>
      <c r="AF87" s="203">
        <v>0</v>
      </c>
      <c r="AG87" s="40"/>
      <c r="AH87" s="40"/>
      <c r="AI87" s="40"/>
      <c r="AJ87" s="40">
        <f t="shared" si="80"/>
        <v>73960.18</v>
      </c>
      <c r="AK87" s="40"/>
      <c r="AL87" s="40">
        <v>0</v>
      </c>
      <c r="AM87" s="40"/>
      <c r="AN87" s="40"/>
      <c r="AO87" s="40"/>
      <c r="AP87" s="40">
        <f t="shared" si="81"/>
        <v>73960.18</v>
      </c>
      <c r="AQ87" s="40"/>
      <c r="AR87" s="40">
        <v>33190.85</v>
      </c>
      <c r="AS87" s="40"/>
      <c r="AT87" s="40"/>
      <c r="AU87" s="40"/>
      <c r="AV87" s="40">
        <f t="shared" si="82"/>
        <v>107151.03</v>
      </c>
      <c r="AW87" s="40"/>
      <c r="AX87" s="40">
        <v>0</v>
      </c>
      <c r="AY87" s="40"/>
      <c r="AZ87" s="40"/>
      <c r="BA87" s="40"/>
      <c r="BB87" s="40">
        <f t="shared" si="83"/>
        <v>107151.03</v>
      </c>
      <c r="BC87" s="40"/>
      <c r="BD87" s="40"/>
      <c r="BE87" s="40"/>
      <c r="BF87" s="40"/>
      <c r="BG87" s="40"/>
      <c r="BH87" s="40">
        <f t="shared" si="84"/>
        <v>107151.03</v>
      </c>
      <c r="BI87" s="40"/>
      <c r="BJ87" s="40"/>
      <c r="BK87" s="40"/>
      <c r="BL87" s="40"/>
      <c r="BM87" s="40"/>
      <c r="BN87" s="40">
        <f t="shared" si="85"/>
        <v>107151.03</v>
      </c>
      <c r="BO87" s="40"/>
      <c r="BP87" s="40"/>
      <c r="BQ87" s="40"/>
      <c r="BR87" s="40"/>
      <c r="BS87" s="40"/>
      <c r="BT87" s="40">
        <f t="shared" si="86"/>
        <v>107151.03</v>
      </c>
      <c r="BU87" s="40"/>
      <c r="BV87" s="40"/>
      <c r="BW87" s="40"/>
      <c r="BX87" s="40"/>
      <c r="BY87" s="40"/>
      <c r="BZ87" s="40">
        <f t="shared" si="87"/>
        <v>107151.03</v>
      </c>
      <c r="CA87" s="40"/>
      <c r="CB87" s="40"/>
      <c r="CC87" s="40"/>
      <c r="CD87" s="40">
        <f>SUM(BX87-BY87+BZ87-CA87+CB87)</f>
        <v>107151.03</v>
      </c>
    </row>
    <row r="88" spans="1:82" ht="15.75">
      <c r="A88" s="38"/>
      <c r="B88" s="39"/>
      <c r="C88" s="39" t="s">
        <v>44</v>
      </c>
      <c r="D88" s="39"/>
      <c r="E88" s="40"/>
      <c r="F88" s="40"/>
      <c r="G88" s="40"/>
      <c r="H88" s="40">
        <v>115578.28</v>
      </c>
      <c r="I88" s="40"/>
      <c r="J88" s="40"/>
      <c r="K88" s="40"/>
      <c r="L88" s="40">
        <f t="shared" si="76"/>
        <v>115578.28</v>
      </c>
      <c r="M88" s="40"/>
      <c r="N88" s="40">
        <v>242305.67</v>
      </c>
      <c r="O88" s="40"/>
      <c r="P88" s="40"/>
      <c r="Q88" s="40"/>
      <c r="R88" s="40">
        <f t="shared" si="77"/>
        <v>357883.95</v>
      </c>
      <c r="S88" s="40"/>
      <c r="T88" s="40">
        <v>115497.42</v>
      </c>
      <c r="U88" s="40"/>
      <c r="V88" s="40"/>
      <c r="W88" s="40"/>
      <c r="X88" s="40">
        <f t="shared" si="78"/>
        <v>473381.37</v>
      </c>
      <c r="Y88" s="40"/>
      <c r="Z88" s="40">
        <v>167074.49</v>
      </c>
      <c r="AA88" s="40"/>
      <c r="AB88" s="40"/>
      <c r="AC88" s="40"/>
      <c r="AD88" s="40">
        <f t="shared" si="79"/>
        <v>640455.86</v>
      </c>
      <c r="AE88" s="40"/>
      <c r="AF88" s="40">
        <v>130963.28</v>
      </c>
      <c r="AG88" s="40"/>
      <c r="AH88" s="40"/>
      <c r="AI88" s="40"/>
      <c r="AJ88" s="40">
        <f t="shared" si="80"/>
        <v>771419.14</v>
      </c>
      <c r="AK88" s="40"/>
      <c r="AL88" s="40">
        <v>155808.45</v>
      </c>
      <c r="AM88" s="40"/>
      <c r="AN88" s="40"/>
      <c r="AO88" s="40"/>
      <c r="AP88" s="40">
        <f t="shared" si="81"/>
        <v>927227.5900000001</v>
      </c>
      <c r="AQ88" s="40"/>
      <c r="AR88" s="40">
        <v>193848.07</v>
      </c>
      <c r="AS88" s="40"/>
      <c r="AT88" s="40"/>
      <c r="AU88" s="40"/>
      <c r="AV88" s="40">
        <f t="shared" si="82"/>
        <v>1121075.6600000001</v>
      </c>
      <c r="AW88" s="40"/>
      <c r="AX88" s="40">
        <v>138146.51</v>
      </c>
      <c r="AY88" s="40"/>
      <c r="AZ88" s="40"/>
      <c r="BA88" s="40"/>
      <c r="BB88" s="40">
        <f t="shared" si="83"/>
        <v>1259222.1700000002</v>
      </c>
      <c r="BC88" s="40"/>
      <c r="BD88" s="40"/>
      <c r="BE88" s="40"/>
      <c r="BF88" s="40"/>
      <c r="BG88" s="40"/>
      <c r="BH88" s="40">
        <f t="shared" si="84"/>
        <v>1259222.1700000002</v>
      </c>
      <c r="BI88" s="40"/>
      <c r="BJ88" s="40"/>
      <c r="BL88" s="40"/>
      <c r="BM88" s="40"/>
      <c r="BN88" s="40">
        <f>SUM(BH88-BI88+BJ88-BK88+BL88)</f>
        <v>1259222.1700000002</v>
      </c>
      <c r="BO88" s="40"/>
      <c r="BP88" s="40"/>
      <c r="BQ88" s="40"/>
      <c r="BR88" s="40"/>
      <c r="BS88" s="40"/>
      <c r="BT88" s="40">
        <f t="shared" si="86"/>
        <v>1259222.1700000002</v>
      </c>
      <c r="BU88" s="40"/>
      <c r="BV88" s="40"/>
      <c r="BW88" s="40"/>
      <c r="BX88" s="40"/>
      <c r="BY88" s="40"/>
      <c r="BZ88" s="40">
        <f t="shared" si="87"/>
        <v>1259222.1700000002</v>
      </c>
      <c r="CA88" s="40"/>
      <c r="CB88" s="40"/>
      <c r="CC88" s="40"/>
      <c r="CD88" s="40">
        <f>+BZ88-CA88</f>
        <v>1259222.1700000002</v>
      </c>
    </row>
    <row r="89" spans="1:82" ht="15.75">
      <c r="A89" s="38"/>
      <c r="B89" s="39"/>
      <c r="C89" s="39" t="s">
        <v>45</v>
      </c>
      <c r="D89" s="39"/>
      <c r="E89" s="40"/>
      <c r="F89" s="40"/>
      <c r="G89" s="40"/>
      <c r="H89" s="40">
        <v>171255.01</v>
      </c>
      <c r="I89" s="40"/>
      <c r="J89" s="40"/>
      <c r="K89" s="40"/>
      <c r="L89" s="40">
        <f t="shared" si="76"/>
        <v>171255.01</v>
      </c>
      <c r="M89" s="40"/>
      <c r="N89" s="40">
        <v>375472.13</v>
      </c>
      <c r="O89" s="40"/>
      <c r="P89" s="40"/>
      <c r="Q89" s="40"/>
      <c r="R89" s="40">
        <f>SUM(L89-M89+N89-O89+P89)</f>
        <v>546727.14</v>
      </c>
      <c r="S89" s="40"/>
      <c r="T89" s="40">
        <v>138006.06</v>
      </c>
      <c r="U89" s="40"/>
      <c r="V89" s="40"/>
      <c r="W89" s="40"/>
      <c r="X89" s="40">
        <f t="shared" si="78"/>
        <v>684733.2</v>
      </c>
      <c r="Y89" s="40"/>
      <c r="Z89" s="40">
        <v>216231.82</v>
      </c>
      <c r="AA89" s="40"/>
      <c r="AB89" s="40"/>
      <c r="AC89" s="40"/>
      <c r="AD89" s="40">
        <f t="shared" si="79"/>
        <v>900965.02</v>
      </c>
      <c r="AE89" s="40"/>
      <c r="AF89" s="40">
        <v>265914.68</v>
      </c>
      <c r="AG89" s="40"/>
      <c r="AH89" s="40"/>
      <c r="AI89" s="40"/>
      <c r="AJ89" s="40">
        <f t="shared" si="80"/>
        <v>1166879.7</v>
      </c>
      <c r="AK89" s="40"/>
      <c r="AL89" s="40">
        <v>217774.21</v>
      </c>
      <c r="AM89" s="40"/>
      <c r="AN89" s="40"/>
      <c r="AO89" s="40"/>
      <c r="AP89" s="40">
        <f t="shared" si="81"/>
        <v>1384653.91</v>
      </c>
      <c r="AQ89" s="40"/>
      <c r="AR89" s="40">
        <v>267838.17</v>
      </c>
      <c r="AS89" s="40"/>
      <c r="AT89" s="40"/>
      <c r="AU89" s="40"/>
      <c r="AV89" s="40">
        <f t="shared" si="82"/>
        <v>1652492.0799999998</v>
      </c>
      <c r="AW89" s="40"/>
      <c r="AX89" s="40">
        <v>289940.48</v>
      </c>
      <c r="AY89" s="40"/>
      <c r="AZ89" s="40"/>
      <c r="BA89" s="40"/>
      <c r="BB89" s="40">
        <f t="shared" si="83"/>
        <v>1942432.5599999998</v>
      </c>
      <c r="BC89" s="40"/>
      <c r="BD89" s="40"/>
      <c r="BE89" s="40"/>
      <c r="BF89" s="40"/>
      <c r="BG89" s="40"/>
      <c r="BH89" s="40">
        <f t="shared" si="84"/>
        <v>1942432.5599999998</v>
      </c>
      <c r="BI89" s="40"/>
      <c r="BJ89" s="40"/>
      <c r="BK89" s="40"/>
      <c r="BL89" s="40"/>
      <c r="BM89" s="40"/>
      <c r="BN89" s="40">
        <f t="shared" si="85"/>
        <v>1942432.5599999998</v>
      </c>
      <c r="BO89" s="40"/>
      <c r="BP89" s="40"/>
      <c r="BQ89" s="40"/>
      <c r="BR89" s="40"/>
      <c r="BS89" s="40"/>
      <c r="BT89" s="40">
        <f t="shared" si="86"/>
        <v>1942432.5599999998</v>
      </c>
      <c r="BU89" s="40"/>
      <c r="BV89" s="40"/>
      <c r="BW89" s="40"/>
      <c r="BX89" s="40"/>
      <c r="BY89" s="40"/>
      <c r="BZ89" s="40">
        <f t="shared" si="87"/>
        <v>1942432.5599999998</v>
      </c>
      <c r="CA89" s="40"/>
      <c r="CB89" s="40"/>
      <c r="CC89" s="40"/>
      <c r="CD89" s="40">
        <f>+BZ89-CA89</f>
        <v>1942432.5599999998</v>
      </c>
    </row>
    <row r="90" spans="1:82" ht="15.75">
      <c r="A90" s="38"/>
      <c r="B90" s="39"/>
      <c r="C90" s="39" t="s">
        <v>47</v>
      </c>
      <c r="D90" s="39"/>
      <c r="E90" s="40"/>
      <c r="F90" s="40"/>
      <c r="G90" s="40"/>
      <c r="H90" s="40">
        <v>0</v>
      </c>
      <c r="I90" s="40"/>
      <c r="J90" s="40"/>
      <c r="K90" s="40"/>
      <c r="L90" s="40">
        <f t="shared" si="76"/>
        <v>0</v>
      </c>
      <c r="M90" s="40"/>
      <c r="N90" s="40"/>
      <c r="O90" s="40"/>
      <c r="P90" s="40"/>
      <c r="Q90" s="40"/>
      <c r="R90" s="40">
        <f t="shared" si="77"/>
        <v>0</v>
      </c>
      <c r="S90" s="40"/>
      <c r="T90" s="40">
        <v>0</v>
      </c>
      <c r="U90" s="40"/>
      <c r="V90" s="40"/>
      <c r="W90" s="40"/>
      <c r="X90" s="40">
        <f t="shared" si="78"/>
        <v>0</v>
      </c>
      <c r="Y90" s="40"/>
      <c r="Z90" s="40">
        <v>75565.58</v>
      </c>
      <c r="AA90" s="40"/>
      <c r="AB90" s="40"/>
      <c r="AC90" s="40"/>
      <c r="AD90" s="40">
        <f t="shared" si="79"/>
        <v>75565.58</v>
      </c>
      <c r="AE90" s="40"/>
      <c r="AF90" s="203"/>
      <c r="AG90" s="40"/>
      <c r="AH90" s="40"/>
      <c r="AI90" s="40"/>
      <c r="AJ90" s="40">
        <f t="shared" si="80"/>
        <v>75565.58</v>
      </c>
      <c r="AK90" s="40"/>
      <c r="AL90" s="40">
        <v>0</v>
      </c>
      <c r="AM90" s="40"/>
      <c r="AN90" s="40"/>
      <c r="AO90" s="40"/>
      <c r="AP90" s="40">
        <f t="shared" si="81"/>
        <v>75565.58</v>
      </c>
      <c r="AQ90" s="40"/>
      <c r="AR90" s="40">
        <v>0</v>
      </c>
      <c r="AS90" s="40"/>
      <c r="AT90" s="40"/>
      <c r="AU90" s="40"/>
      <c r="AV90" s="40">
        <f t="shared" si="82"/>
        <v>75565.58</v>
      </c>
      <c r="AW90" s="40"/>
      <c r="AX90" s="40">
        <v>27267.61</v>
      </c>
      <c r="AY90" s="40"/>
      <c r="AZ90" s="40"/>
      <c r="BA90" s="40"/>
      <c r="BB90" s="40">
        <f t="shared" si="83"/>
        <v>102833.19</v>
      </c>
      <c r="BC90" s="40"/>
      <c r="BD90" s="40"/>
      <c r="BE90" s="40"/>
      <c r="BF90" s="40"/>
      <c r="BG90" s="40"/>
      <c r="BH90" s="40">
        <f t="shared" si="84"/>
        <v>102833.19</v>
      </c>
      <c r="BI90" s="40"/>
      <c r="BJ90" s="40"/>
      <c r="BK90" s="40"/>
      <c r="BL90" s="40"/>
      <c r="BM90" s="40"/>
      <c r="BN90" s="40">
        <f t="shared" si="85"/>
        <v>102833.19</v>
      </c>
      <c r="BO90" s="40"/>
      <c r="BP90" s="40"/>
      <c r="BQ90" s="40"/>
      <c r="BR90" s="40"/>
      <c r="BS90" s="40"/>
      <c r="BT90" s="40">
        <f t="shared" si="86"/>
        <v>102833.19</v>
      </c>
      <c r="BU90" s="40"/>
      <c r="BV90" s="40"/>
      <c r="BW90" s="40"/>
      <c r="BX90" s="40"/>
      <c r="BY90" s="40"/>
      <c r="BZ90" s="40">
        <f t="shared" si="87"/>
        <v>102833.19</v>
      </c>
      <c r="CA90" s="40"/>
      <c r="CB90" s="40"/>
      <c r="CC90" s="40"/>
      <c r="CD90" s="40">
        <f>+BZ90-CA90</f>
        <v>102833.19</v>
      </c>
    </row>
    <row r="91" spans="1:82" ht="15.75">
      <c r="A91" s="38"/>
      <c r="B91" s="39"/>
      <c r="C91" s="39" t="s">
        <v>48</v>
      </c>
      <c r="D91" s="39"/>
      <c r="E91" s="40"/>
      <c r="F91" s="40"/>
      <c r="G91" s="40"/>
      <c r="H91" s="40">
        <v>27473.12</v>
      </c>
      <c r="I91" s="40"/>
      <c r="J91" s="40"/>
      <c r="K91" s="40"/>
      <c r="L91" s="40">
        <f t="shared" si="76"/>
        <v>27473.12</v>
      </c>
      <c r="M91" s="40"/>
      <c r="N91" s="40"/>
      <c r="O91" s="40"/>
      <c r="P91" s="40"/>
      <c r="Q91" s="40"/>
      <c r="R91" s="40">
        <f t="shared" si="77"/>
        <v>27473.12</v>
      </c>
      <c r="S91" s="40"/>
      <c r="T91" s="40">
        <v>0</v>
      </c>
      <c r="U91" s="40"/>
      <c r="V91" s="40"/>
      <c r="W91" s="40"/>
      <c r="X91" s="40">
        <f t="shared" si="78"/>
        <v>27473.12</v>
      </c>
      <c r="Y91" s="40"/>
      <c r="Z91" s="40">
        <v>23392.67</v>
      </c>
      <c r="AA91" s="40"/>
      <c r="AB91" s="40"/>
      <c r="AC91" s="40"/>
      <c r="AD91" s="40">
        <f t="shared" si="79"/>
        <v>50865.78999999999</v>
      </c>
      <c r="AE91" s="40"/>
      <c r="AF91" s="40"/>
      <c r="AG91" s="40"/>
      <c r="AH91" s="40"/>
      <c r="AI91" s="40"/>
      <c r="AJ91" s="40">
        <f t="shared" si="80"/>
        <v>50865.78999999999</v>
      </c>
      <c r="AK91" s="40"/>
      <c r="AL91" s="40">
        <v>0</v>
      </c>
      <c r="AM91" s="40"/>
      <c r="AN91" s="40"/>
      <c r="AO91" s="40"/>
      <c r="AP91" s="40">
        <f t="shared" si="81"/>
        <v>50865.78999999999</v>
      </c>
      <c r="AQ91" s="40"/>
      <c r="AR91" s="40">
        <v>19355.62</v>
      </c>
      <c r="AS91" s="40"/>
      <c r="AT91" s="40"/>
      <c r="AU91" s="40"/>
      <c r="AV91" s="40">
        <f t="shared" si="82"/>
        <v>70221.40999999999</v>
      </c>
      <c r="AW91" s="40"/>
      <c r="AX91" s="40">
        <v>0</v>
      </c>
      <c r="AY91" s="40"/>
      <c r="AZ91" s="40"/>
      <c r="BA91" s="40"/>
      <c r="BB91" s="40">
        <f t="shared" si="83"/>
        <v>70221.40999999999</v>
      </c>
      <c r="BC91" s="40"/>
      <c r="BD91" s="40"/>
      <c r="BE91" s="40"/>
      <c r="BF91" s="40"/>
      <c r="BG91" s="40"/>
      <c r="BH91" s="40">
        <f t="shared" si="84"/>
        <v>70221.40999999999</v>
      </c>
      <c r="BI91" s="40"/>
      <c r="BJ91" s="40"/>
      <c r="BK91" s="40"/>
      <c r="BL91" s="40"/>
      <c r="BM91" s="40"/>
      <c r="BN91" s="40">
        <f t="shared" si="85"/>
        <v>70221.40999999999</v>
      </c>
      <c r="BO91" s="40"/>
      <c r="BP91" s="40"/>
      <c r="BQ91" s="40"/>
      <c r="BR91" s="40"/>
      <c r="BS91" s="40"/>
      <c r="BT91" s="40">
        <f t="shared" si="86"/>
        <v>70221.40999999999</v>
      </c>
      <c r="BU91" s="40"/>
      <c r="BV91" s="40"/>
      <c r="BW91" s="40"/>
      <c r="BX91" s="40"/>
      <c r="BY91" s="40"/>
      <c r="BZ91" s="40">
        <f t="shared" si="87"/>
        <v>70221.40999999999</v>
      </c>
      <c r="CA91" s="40"/>
      <c r="CB91" s="40"/>
      <c r="CC91" s="40"/>
      <c r="CD91" s="40">
        <f>+BZ91-CA91</f>
        <v>70221.40999999999</v>
      </c>
    </row>
    <row r="92" spans="1:82" ht="15.75">
      <c r="A92" s="38"/>
      <c r="B92" s="39"/>
      <c r="C92" s="39" t="s">
        <v>67</v>
      </c>
      <c r="D92" s="39"/>
      <c r="E92" s="40"/>
      <c r="F92" s="40"/>
      <c r="G92" s="40"/>
      <c r="H92" s="40">
        <v>0</v>
      </c>
      <c r="I92" s="40"/>
      <c r="J92" s="40"/>
      <c r="K92" s="40"/>
      <c r="L92" s="40">
        <f t="shared" si="76"/>
        <v>0</v>
      </c>
      <c r="M92" s="40"/>
      <c r="N92" s="40"/>
      <c r="O92" s="40"/>
      <c r="P92" s="40"/>
      <c r="Q92" s="40"/>
      <c r="R92" s="40">
        <f>SUM(L92-M92+N92-O92+P92)</f>
        <v>0</v>
      </c>
      <c r="S92" s="40"/>
      <c r="T92" s="40">
        <v>0</v>
      </c>
      <c r="U92" s="40"/>
      <c r="V92" s="40"/>
      <c r="W92" s="40"/>
      <c r="X92" s="40">
        <f t="shared" si="78"/>
        <v>0</v>
      </c>
      <c r="Y92" s="40"/>
      <c r="Z92" s="40">
        <v>0</v>
      </c>
      <c r="AA92" s="40"/>
      <c r="AB92" s="40"/>
      <c r="AC92" s="40"/>
      <c r="AD92" s="40">
        <f t="shared" si="79"/>
        <v>0</v>
      </c>
      <c r="AE92" s="40"/>
      <c r="AF92" s="203"/>
      <c r="AG92" s="40"/>
      <c r="AH92" s="40"/>
      <c r="AI92" s="40"/>
      <c r="AJ92" s="40">
        <f t="shared" si="80"/>
        <v>0</v>
      </c>
      <c r="AK92" s="40"/>
      <c r="AL92" s="40">
        <v>0</v>
      </c>
      <c r="AM92" s="40"/>
      <c r="AN92" s="40"/>
      <c r="AO92" s="40"/>
      <c r="AP92" s="40">
        <f t="shared" si="81"/>
        <v>0</v>
      </c>
      <c r="AQ92" s="40"/>
      <c r="AR92" s="40">
        <v>0</v>
      </c>
      <c r="AS92" s="40"/>
      <c r="AT92" s="40"/>
      <c r="AU92" s="40"/>
      <c r="AV92" s="40">
        <f t="shared" si="82"/>
        <v>0</v>
      </c>
      <c r="AW92" s="40"/>
      <c r="AX92" s="40">
        <v>0</v>
      </c>
      <c r="AY92" s="40"/>
      <c r="AZ92" s="40"/>
      <c r="BA92" s="40"/>
      <c r="BB92" s="40">
        <f t="shared" si="83"/>
        <v>0</v>
      </c>
      <c r="BC92" s="40"/>
      <c r="BD92" s="40"/>
      <c r="BE92" s="40"/>
      <c r="BF92" s="40"/>
      <c r="BG92" s="40"/>
      <c r="BH92" s="40">
        <f t="shared" si="84"/>
        <v>0</v>
      </c>
      <c r="BI92" s="40"/>
      <c r="BJ92" s="40"/>
      <c r="BK92" s="40"/>
      <c r="BL92" s="40"/>
      <c r="BM92" s="40"/>
      <c r="BN92" s="40">
        <f t="shared" si="85"/>
        <v>0</v>
      </c>
      <c r="BO92" s="40"/>
      <c r="BP92" s="40"/>
      <c r="BQ92" s="40"/>
      <c r="BR92" s="40"/>
      <c r="BS92" s="40"/>
      <c r="BT92" s="40">
        <f t="shared" si="86"/>
        <v>0</v>
      </c>
      <c r="BU92" s="40"/>
      <c r="BV92" s="40"/>
      <c r="BW92" s="40"/>
      <c r="BX92" s="40"/>
      <c r="BY92" s="40"/>
      <c r="BZ92" s="40">
        <f t="shared" si="87"/>
        <v>0</v>
      </c>
      <c r="CA92" s="40"/>
      <c r="CB92" s="40"/>
      <c r="CC92" s="40"/>
      <c r="CD92" s="40">
        <f>+BZ92-CA92</f>
        <v>0</v>
      </c>
    </row>
    <row r="93" spans="1:82" ht="15.75">
      <c r="A93" s="41"/>
      <c r="B93" s="42"/>
      <c r="C93" s="42" t="s">
        <v>68</v>
      </c>
      <c r="D93" s="42"/>
      <c r="E93" s="43"/>
      <c r="F93" s="43"/>
      <c r="G93" s="43"/>
      <c r="H93" s="43">
        <v>17974</v>
      </c>
      <c r="I93" s="43"/>
      <c r="J93" s="43"/>
      <c r="K93" s="43"/>
      <c r="L93" s="40">
        <f t="shared" si="76"/>
        <v>17974</v>
      </c>
      <c r="M93" s="43"/>
      <c r="N93" s="43">
        <v>51103</v>
      </c>
      <c r="O93" s="43"/>
      <c r="P93" s="43"/>
      <c r="Q93" s="43"/>
      <c r="R93" s="40">
        <f t="shared" si="77"/>
        <v>69077</v>
      </c>
      <c r="S93" s="43"/>
      <c r="T93" s="43">
        <v>104374</v>
      </c>
      <c r="U93" s="43"/>
      <c r="V93" s="43"/>
      <c r="W93" s="43"/>
      <c r="X93" s="40">
        <f t="shared" si="78"/>
        <v>173451</v>
      </c>
      <c r="Y93" s="43"/>
      <c r="Z93" s="43">
        <v>47589</v>
      </c>
      <c r="AA93" s="43"/>
      <c r="AB93" s="43"/>
      <c r="AC93" s="43"/>
      <c r="AD93" s="40">
        <f t="shared" si="79"/>
        <v>221040</v>
      </c>
      <c r="AE93" s="43"/>
      <c r="AF93" s="43">
        <v>65426</v>
      </c>
      <c r="AG93" s="43"/>
      <c r="AH93" s="43"/>
      <c r="AI93" s="43"/>
      <c r="AJ93" s="40">
        <f t="shared" si="80"/>
        <v>286466</v>
      </c>
      <c r="AK93" s="43"/>
      <c r="AL93" s="43">
        <v>13551</v>
      </c>
      <c r="AM93" s="43"/>
      <c r="AN93" s="43"/>
      <c r="AO93" s="43"/>
      <c r="AP93" s="40">
        <f t="shared" si="81"/>
        <v>300017</v>
      </c>
      <c r="AQ93" s="43"/>
      <c r="AR93" s="43">
        <v>21496</v>
      </c>
      <c r="AS93" s="43"/>
      <c r="AT93" s="43"/>
      <c r="AU93" s="43"/>
      <c r="AV93" s="40">
        <f t="shared" si="82"/>
        <v>321513</v>
      </c>
      <c r="AW93" s="43"/>
      <c r="AX93" s="43">
        <v>17563</v>
      </c>
      <c r="AY93" s="43"/>
      <c r="AZ93" s="43"/>
      <c r="BA93" s="43"/>
      <c r="BB93" s="40">
        <f t="shared" si="83"/>
        <v>339076</v>
      </c>
      <c r="BC93" s="43"/>
      <c r="BD93" s="43"/>
      <c r="BE93" s="43"/>
      <c r="BF93" s="43"/>
      <c r="BG93" s="43"/>
      <c r="BH93" s="40">
        <f t="shared" si="84"/>
        <v>339076</v>
      </c>
      <c r="BI93" s="43"/>
      <c r="BJ93" s="43"/>
      <c r="BK93" s="43"/>
      <c r="BL93" s="43"/>
      <c r="BM93" s="43"/>
      <c r="BN93" s="40">
        <f t="shared" si="85"/>
        <v>339076</v>
      </c>
      <c r="BO93" s="43"/>
      <c r="BP93" s="43"/>
      <c r="BQ93" s="43"/>
      <c r="BR93" s="43"/>
      <c r="BS93" s="43"/>
      <c r="BT93" s="40">
        <f t="shared" si="86"/>
        <v>339076</v>
      </c>
      <c r="BU93" s="43"/>
      <c r="BV93" s="43"/>
      <c r="BW93" s="43"/>
      <c r="BX93" s="43"/>
      <c r="BY93" s="43"/>
      <c r="BZ93" s="40">
        <f t="shared" si="87"/>
        <v>339076</v>
      </c>
      <c r="CA93" s="43"/>
      <c r="CB93" s="43"/>
      <c r="CC93" s="43"/>
      <c r="CD93" s="40">
        <f>+BZ93-CA93</f>
        <v>339076</v>
      </c>
    </row>
    <row r="94" spans="1:84" s="168" customFormat="1" ht="15.75">
      <c r="A94" s="153" t="s">
        <v>107</v>
      </c>
      <c r="B94" s="154"/>
      <c r="C94" s="154"/>
      <c r="D94" s="154"/>
      <c r="E94" s="155">
        <f>SUM(E95,E97,E101)</f>
        <v>0</v>
      </c>
      <c r="F94" s="155">
        <f aca="true" t="shared" si="88" ref="F94:BQ94">SUM(F95,F97,F101)</f>
        <v>0</v>
      </c>
      <c r="G94" s="155">
        <f t="shared" si="88"/>
        <v>0</v>
      </c>
      <c r="H94" s="155">
        <f t="shared" si="88"/>
        <v>0</v>
      </c>
      <c r="I94" s="155">
        <f t="shared" si="88"/>
        <v>0</v>
      </c>
      <c r="J94" s="155">
        <f t="shared" si="88"/>
        <v>0</v>
      </c>
      <c r="K94" s="155">
        <f t="shared" si="88"/>
        <v>0</v>
      </c>
      <c r="L94" s="155">
        <f t="shared" si="88"/>
        <v>0</v>
      </c>
      <c r="M94" s="155">
        <f t="shared" si="88"/>
        <v>0</v>
      </c>
      <c r="N94" s="155">
        <f t="shared" si="88"/>
        <v>6043536</v>
      </c>
      <c r="O94" s="155">
        <f t="shared" si="88"/>
        <v>0</v>
      </c>
      <c r="P94" s="155">
        <f t="shared" si="88"/>
        <v>0</v>
      </c>
      <c r="Q94" s="155">
        <f t="shared" si="88"/>
        <v>0</v>
      </c>
      <c r="R94" s="155">
        <f t="shared" si="88"/>
        <v>6043536</v>
      </c>
      <c r="S94" s="155">
        <f t="shared" si="88"/>
        <v>0</v>
      </c>
      <c r="T94" s="155">
        <f>SUM(T95,T97,T101)</f>
        <v>7945514</v>
      </c>
      <c r="U94" s="155">
        <f t="shared" si="88"/>
        <v>0</v>
      </c>
      <c r="V94" s="155">
        <f t="shared" si="88"/>
        <v>0</v>
      </c>
      <c r="W94" s="155">
        <f t="shared" si="88"/>
        <v>0</v>
      </c>
      <c r="X94" s="155">
        <f t="shared" si="88"/>
        <v>13989050</v>
      </c>
      <c r="Y94" s="155">
        <f t="shared" si="88"/>
        <v>0</v>
      </c>
      <c r="Z94" s="155">
        <f t="shared" si="88"/>
        <v>2669720</v>
      </c>
      <c r="AA94" s="155">
        <f t="shared" si="88"/>
        <v>0</v>
      </c>
      <c r="AB94" s="155">
        <f t="shared" si="88"/>
        <v>0</v>
      </c>
      <c r="AC94" s="155">
        <f t="shared" si="88"/>
        <v>0</v>
      </c>
      <c r="AD94" s="155">
        <f t="shared" si="88"/>
        <v>16658770</v>
      </c>
      <c r="AE94" s="155">
        <f t="shared" si="88"/>
        <v>0</v>
      </c>
      <c r="AF94" s="155">
        <f>SUM(AF95,AF97,AF101)</f>
        <v>361265</v>
      </c>
      <c r="AG94" s="155">
        <f t="shared" si="88"/>
        <v>0</v>
      </c>
      <c r="AH94" s="155">
        <f t="shared" si="88"/>
        <v>0</v>
      </c>
      <c r="AI94" s="155">
        <f t="shared" si="88"/>
        <v>0</v>
      </c>
      <c r="AJ94" s="155">
        <f>SUM(AJ95,AJ97,AJ101)</f>
        <v>17020035</v>
      </c>
      <c r="AK94" s="155">
        <f t="shared" si="88"/>
        <v>0</v>
      </c>
      <c r="AL94" s="155">
        <f>SUM(AL95,AL97,AL101)</f>
        <v>10226030</v>
      </c>
      <c r="AM94" s="156">
        <f t="shared" si="88"/>
        <v>0</v>
      </c>
      <c r="AN94" s="156">
        <f t="shared" si="88"/>
        <v>0</v>
      </c>
      <c r="AO94" s="155">
        <f t="shared" si="88"/>
        <v>0</v>
      </c>
      <c r="AP94" s="155">
        <f t="shared" si="88"/>
        <v>27246065</v>
      </c>
      <c r="AQ94" s="155">
        <f t="shared" si="88"/>
        <v>0</v>
      </c>
      <c r="AR94" s="155">
        <f t="shared" si="88"/>
        <v>2217424</v>
      </c>
      <c r="AS94" s="155">
        <f t="shared" si="88"/>
        <v>0</v>
      </c>
      <c r="AT94" s="155">
        <f t="shared" si="88"/>
        <v>0</v>
      </c>
      <c r="AU94" s="155">
        <f t="shared" si="88"/>
        <v>0</v>
      </c>
      <c r="AV94" s="155">
        <f>SUM(AV95,AV97,AV101)</f>
        <v>29463489</v>
      </c>
      <c r="AW94" s="155">
        <f t="shared" si="88"/>
        <v>0</v>
      </c>
      <c r="AX94" s="155">
        <f t="shared" si="88"/>
        <v>946400</v>
      </c>
      <c r="AY94" s="155">
        <f t="shared" si="88"/>
        <v>0</v>
      </c>
      <c r="AZ94" s="155">
        <f t="shared" si="88"/>
        <v>0</v>
      </c>
      <c r="BA94" s="155">
        <f t="shared" si="88"/>
        <v>0</v>
      </c>
      <c r="BB94" s="155">
        <f t="shared" si="88"/>
        <v>30409889</v>
      </c>
      <c r="BC94" s="155">
        <f t="shared" si="88"/>
        <v>0</v>
      </c>
      <c r="BD94" s="155">
        <f>SUM(BD95,BD97,BD101)</f>
        <v>0</v>
      </c>
      <c r="BE94" s="155">
        <f t="shared" si="88"/>
        <v>0</v>
      </c>
      <c r="BF94" s="155">
        <f t="shared" si="88"/>
        <v>0</v>
      </c>
      <c r="BG94" s="155">
        <f>SUM(BG95,BG97,BG101)</f>
        <v>0</v>
      </c>
      <c r="BH94" s="155">
        <f>SUM(BH95,BH97,BH101)</f>
        <v>28429889</v>
      </c>
      <c r="BI94" s="155">
        <f t="shared" si="88"/>
        <v>0</v>
      </c>
      <c r="BJ94" s="155">
        <f t="shared" si="88"/>
        <v>0</v>
      </c>
      <c r="BK94" s="155">
        <f t="shared" si="88"/>
        <v>0</v>
      </c>
      <c r="BL94" s="155">
        <f t="shared" si="88"/>
        <v>0</v>
      </c>
      <c r="BM94" s="155">
        <f t="shared" si="88"/>
        <v>0</v>
      </c>
      <c r="BN94" s="155">
        <f>SUM(BN95,BN97,BN101)</f>
        <v>28429889</v>
      </c>
      <c r="BO94" s="155">
        <f t="shared" si="88"/>
        <v>0</v>
      </c>
      <c r="BP94" s="155">
        <f t="shared" si="88"/>
        <v>0</v>
      </c>
      <c r="BQ94" s="155">
        <f t="shared" si="88"/>
        <v>0</v>
      </c>
      <c r="BR94" s="155">
        <f aca="true" t="shared" si="89" ref="BR94:CC94">SUM(BR95,BR97,BR101)</f>
        <v>0</v>
      </c>
      <c r="BS94" s="155">
        <f t="shared" si="89"/>
        <v>0</v>
      </c>
      <c r="BT94" s="155">
        <f t="shared" si="89"/>
        <v>28429889</v>
      </c>
      <c r="BU94" s="155">
        <f t="shared" si="89"/>
        <v>0</v>
      </c>
      <c r="BV94" s="155">
        <f t="shared" si="89"/>
        <v>0</v>
      </c>
      <c r="BW94" s="155">
        <f t="shared" si="89"/>
        <v>0</v>
      </c>
      <c r="BX94" s="155">
        <f t="shared" si="89"/>
        <v>0</v>
      </c>
      <c r="BY94" s="155">
        <f t="shared" si="89"/>
        <v>0</v>
      </c>
      <c r="BZ94" s="155">
        <f>SUM(BZ95,BZ97,BZ101)</f>
        <v>28429889</v>
      </c>
      <c r="CA94" s="156">
        <f t="shared" si="89"/>
        <v>0</v>
      </c>
      <c r="CB94" s="156">
        <f t="shared" si="89"/>
        <v>0</v>
      </c>
      <c r="CC94" s="155">
        <f t="shared" si="89"/>
        <v>0</v>
      </c>
      <c r="CD94" s="155">
        <f>SUM(CD95,CD97,CD101)</f>
        <v>28429889</v>
      </c>
      <c r="CE94" s="167"/>
      <c r="CF94" s="167"/>
    </row>
    <row r="95" spans="1:84" s="168" customFormat="1" ht="15.75">
      <c r="A95" s="159"/>
      <c r="B95" s="160" t="s">
        <v>108</v>
      </c>
      <c r="C95" s="160"/>
      <c r="D95" s="160"/>
      <c r="E95" s="161">
        <f aca="true" t="shared" si="90" ref="E95:BY95">SUM(E96)</f>
        <v>0</v>
      </c>
      <c r="F95" s="161">
        <f t="shared" si="90"/>
        <v>0</v>
      </c>
      <c r="G95" s="161">
        <f t="shared" si="90"/>
        <v>0</v>
      </c>
      <c r="H95" s="161">
        <f t="shared" si="90"/>
        <v>0</v>
      </c>
      <c r="I95" s="161">
        <f t="shared" si="90"/>
        <v>0</v>
      </c>
      <c r="J95" s="161">
        <f t="shared" si="90"/>
        <v>0</v>
      </c>
      <c r="K95" s="161">
        <f t="shared" si="90"/>
        <v>0</v>
      </c>
      <c r="L95" s="162">
        <f>SUM(F95-G95+H95-I95+J95)</f>
        <v>0</v>
      </c>
      <c r="M95" s="161">
        <f t="shared" si="90"/>
        <v>0</v>
      </c>
      <c r="N95" s="161">
        <f>SUM(N96)</f>
        <v>1739770</v>
      </c>
      <c r="O95" s="161"/>
      <c r="P95" s="161"/>
      <c r="Q95" s="161">
        <f t="shared" si="90"/>
        <v>0</v>
      </c>
      <c r="R95" s="162">
        <f>SUM(L95-M95+N95-O95+P95)</f>
        <v>1739770</v>
      </c>
      <c r="S95" s="161">
        <f t="shared" si="90"/>
        <v>0</v>
      </c>
      <c r="T95" s="161">
        <f t="shared" si="90"/>
        <v>6841614</v>
      </c>
      <c r="U95" s="161"/>
      <c r="V95" s="161"/>
      <c r="W95" s="161">
        <f t="shared" si="90"/>
        <v>0</v>
      </c>
      <c r="X95" s="162">
        <f>SUM(R95-S95+T95-U95+V95)</f>
        <v>8581384</v>
      </c>
      <c r="Y95" s="161">
        <f t="shared" si="90"/>
        <v>0</v>
      </c>
      <c r="Z95" s="161">
        <f>SUM(Z96)</f>
        <v>1862520</v>
      </c>
      <c r="AA95" s="161"/>
      <c r="AB95" s="161"/>
      <c r="AC95" s="161">
        <f t="shared" si="90"/>
        <v>0</v>
      </c>
      <c r="AD95" s="162">
        <f>SUM(X95-Y95+Z95-AA95+AB95)</f>
        <v>10443904</v>
      </c>
      <c r="AE95" s="161">
        <f t="shared" si="90"/>
        <v>0</v>
      </c>
      <c r="AF95" s="161">
        <f>SUM(AF96)</f>
        <v>0</v>
      </c>
      <c r="AG95" s="161"/>
      <c r="AH95" s="161"/>
      <c r="AI95" s="161">
        <f t="shared" si="90"/>
        <v>0</v>
      </c>
      <c r="AJ95" s="162">
        <f>SUM(AD95-AE95+AF95-AG95+AH95)</f>
        <v>10443904</v>
      </c>
      <c r="AK95" s="161">
        <f t="shared" si="90"/>
        <v>0</v>
      </c>
      <c r="AL95" s="161">
        <f t="shared" si="90"/>
        <v>3946460</v>
      </c>
      <c r="AM95" s="162"/>
      <c r="AN95" s="162"/>
      <c r="AO95" s="161">
        <f t="shared" si="90"/>
        <v>0</v>
      </c>
      <c r="AP95" s="162">
        <f>SUM(AJ95-AK95+AL95-AM95+AN95)</f>
        <v>14390364</v>
      </c>
      <c r="AQ95" s="161">
        <f t="shared" si="90"/>
        <v>0</v>
      </c>
      <c r="AR95" s="161">
        <f>SUM(AR96)</f>
        <v>1704270</v>
      </c>
      <c r="AS95" s="161">
        <f t="shared" si="90"/>
        <v>0</v>
      </c>
      <c r="AT95" s="161">
        <f t="shared" si="90"/>
        <v>0</v>
      </c>
      <c r="AU95" s="161">
        <f t="shared" si="90"/>
        <v>0</v>
      </c>
      <c r="AV95" s="162">
        <f>SUM(AP95-AQ95+AR95-AS95+AT95)</f>
        <v>16094634</v>
      </c>
      <c r="AW95" s="161">
        <f t="shared" si="90"/>
        <v>0</v>
      </c>
      <c r="AX95" s="161">
        <f t="shared" si="90"/>
        <v>0</v>
      </c>
      <c r="AY95" s="161">
        <f t="shared" si="90"/>
        <v>0</v>
      </c>
      <c r="AZ95" s="161">
        <f t="shared" si="90"/>
        <v>0</v>
      </c>
      <c r="BA95" s="161">
        <f t="shared" si="90"/>
        <v>0</v>
      </c>
      <c r="BB95" s="162">
        <f>SUM(AV95-AW95+AX95-AY95+AZ95)</f>
        <v>16094634</v>
      </c>
      <c r="BC95" s="161">
        <f t="shared" si="90"/>
        <v>0</v>
      </c>
      <c r="BD95" s="161">
        <f>SUM(BD96)</f>
        <v>0</v>
      </c>
      <c r="BE95" s="161"/>
      <c r="BF95" s="161"/>
      <c r="BG95" s="161">
        <f>SUM(BG96)</f>
        <v>0</v>
      </c>
      <c r="BH95" s="162">
        <f>SUM(BB95-BC95+BD95-BE95+BF95)</f>
        <v>16094634</v>
      </c>
      <c r="BI95" s="161">
        <f t="shared" si="90"/>
        <v>0</v>
      </c>
      <c r="BJ95" s="161">
        <f t="shared" si="90"/>
        <v>0</v>
      </c>
      <c r="BK95" s="161"/>
      <c r="BL95" s="161"/>
      <c r="BM95" s="161">
        <f t="shared" si="90"/>
        <v>0</v>
      </c>
      <c r="BN95" s="162">
        <f>SUM(BH95-BI95+BJ95-BK95+BL95)</f>
        <v>16094634</v>
      </c>
      <c r="BO95" s="161">
        <f t="shared" si="90"/>
        <v>0</v>
      </c>
      <c r="BP95" s="161">
        <f>SUM(BP96)</f>
        <v>0</v>
      </c>
      <c r="BQ95" s="161"/>
      <c r="BR95" s="161"/>
      <c r="BS95" s="161">
        <f t="shared" si="90"/>
        <v>0</v>
      </c>
      <c r="BT95" s="162">
        <f>SUM(BN95-BO95+BP95-BQ95+BR95)</f>
        <v>16094634</v>
      </c>
      <c r="BU95" s="161">
        <f t="shared" si="90"/>
        <v>0</v>
      </c>
      <c r="BV95" s="161">
        <f t="shared" si="90"/>
        <v>0</v>
      </c>
      <c r="BW95" s="161"/>
      <c r="BX95" s="161"/>
      <c r="BY95" s="161">
        <f t="shared" si="90"/>
        <v>0</v>
      </c>
      <c r="BZ95" s="162">
        <f>SUM(BT95-BU95+BV95-BW95+BX95)</f>
        <v>16094634</v>
      </c>
      <c r="CA95" s="162">
        <f>+CA96</f>
        <v>0</v>
      </c>
      <c r="CB95" s="162">
        <f>+CB96</f>
        <v>0</v>
      </c>
      <c r="CC95" s="161">
        <f>SUM(CC96)</f>
        <v>0</v>
      </c>
      <c r="CD95" s="162">
        <f>+BZ95+CB95+-CA95</f>
        <v>16094634</v>
      </c>
      <c r="CE95" s="167"/>
      <c r="CF95" s="167"/>
    </row>
    <row r="96" spans="1:82" ht="15.75">
      <c r="A96" s="13"/>
      <c r="B96" s="28"/>
      <c r="C96" s="28" t="s">
        <v>109</v>
      </c>
      <c r="D96" s="28"/>
      <c r="E96" s="12"/>
      <c r="F96" s="12"/>
      <c r="G96" s="12"/>
      <c r="H96" s="12"/>
      <c r="I96" s="12"/>
      <c r="J96" s="12"/>
      <c r="K96" s="12"/>
      <c r="L96" s="12">
        <f>SUM(F96-G96+H96-I96+J96)</f>
        <v>0</v>
      </c>
      <c r="M96" s="12"/>
      <c r="N96" s="12">
        <f>19500+515270+1189000+16000</f>
        <v>1739770</v>
      </c>
      <c r="O96" s="12"/>
      <c r="P96" s="12"/>
      <c r="Q96" s="12"/>
      <c r="R96" s="12">
        <f>SUM(L96-M96+N96-O96+P96)</f>
        <v>1739770</v>
      </c>
      <c r="S96" s="12"/>
      <c r="T96" s="12">
        <v>6841614</v>
      </c>
      <c r="U96" s="12"/>
      <c r="V96" s="12"/>
      <c r="W96" s="12"/>
      <c r="X96" s="12">
        <f>SUM(R96-S96+T96-U96+V96)</f>
        <v>8581384</v>
      </c>
      <c r="Y96" s="12"/>
      <c r="Z96" s="12">
        <f>515270+1189000+19500+138750</f>
        <v>1862520</v>
      </c>
      <c r="AA96" s="12"/>
      <c r="AB96" s="12"/>
      <c r="AC96" s="12"/>
      <c r="AD96" s="12">
        <f>SUM(X96-Y96+Z96-AA96+AB96)</f>
        <v>10443904</v>
      </c>
      <c r="AE96" s="12"/>
      <c r="AF96" s="12"/>
      <c r="AG96" s="12"/>
      <c r="AH96" s="12"/>
      <c r="AI96" s="12"/>
      <c r="AJ96" s="12">
        <f>SUM(AD96-AE96+AF96-AG96+AH96)</f>
        <v>10443904</v>
      </c>
      <c r="AK96" s="12"/>
      <c r="AL96" s="12">
        <f>19500+3788210+138750</f>
        <v>3946460</v>
      </c>
      <c r="AM96" s="12"/>
      <c r="AN96" s="12"/>
      <c r="AO96" s="12"/>
      <c r="AP96" s="12">
        <f>SUM(AJ96-AK96+AL96-AM96+AN96)</f>
        <v>14390364</v>
      </c>
      <c r="AQ96" s="12"/>
      <c r="AR96" s="12">
        <f>515270+1189000</f>
        <v>1704270</v>
      </c>
      <c r="AS96" s="12"/>
      <c r="AT96" s="12"/>
      <c r="AU96" s="12"/>
      <c r="AV96" s="12">
        <f>SUM(AP96-AQ96+AR96-AS96+AT96)</f>
        <v>16094634</v>
      </c>
      <c r="AW96" s="12"/>
      <c r="AX96" s="12">
        <v>0</v>
      </c>
      <c r="AY96" s="12"/>
      <c r="AZ96" s="12"/>
      <c r="BA96" s="12"/>
      <c r="BB96" s="12">
        <f>SUM(AV96-AW96+AX96-AY96+AZ96)</f>
        <v>16094634</v>
      </c>
      <c r="BC96" s="12"/>
      <c r="BD96" s="12">
        <v>0</v>
      </c>
      <c r="BE96" s="12"/>
      <c r="BF96" s="12"/>
      <c r="BG96" s="12"/>
      <c r="BH96" s="12">
        <f>SUM(BB96-BC96+BD96-BE96+BF96)</f>
        <v>16094634</v>
      </c>
      <c r="BI96" s="12"/>
      <c r="BJ96" s="12"/>
      <c r="BK96" s="12"/>
      <c r="BL96" s="12"/>
      <c r="BM96" s="12"/>
      <c r="BN96" s="12">
        <f>SUM(BH96-BI96+BJ96-BK96+BL96)</f>
        <v>16094634</v>
      </c>
      <c r="BO96" s="12"/>
      <c r="BP96" s="12"/>
      <c r="BQ96" s="12"/>
      <c r="BR96" s="12"/>
      <c r="BS96" s="12"/>
      <c r="BT96" s="12">
        <f>SUM(BN96-BO96+BP96-BQ96+BR96)</f>
        <v>16094634</v>
      </c>
      <c r="BU96" s="12"/>
      <c r="BV96" s="12"/>
      <c r="BW96" s="12"/>
      <c r="BX96" s="12"/>
      <c r="BY96" s="12"/>
      <c r="BZ96" s="12">
        <f>SUM(BT96-BU96+BV96-BW96+BX96)</f>
        <v>16094634</v>
      </c>
      <c r="CA96" s="12"/>
      <c r="CB96" s="12"/>
      <c r="CC96" s="12"/>
      <c r="CD96" s="12">
        <f>+BZ96+CB96-CA96</f>
        <v>16094634</v>
      </c>
    </row>
    <row r="97" spans="1:84" s="168" customFormat="1" ht="15.75">
      <c r="A97" s="163"/>
      <c r="B97" s="164" t="s">
        <v>111</v>
      </c>
      <c r="C97" s="164"/>
      <c r="D97" s="164"/>
      <c r="E97" s="165">
        <f aca="true" t="shared" si="91" ref="E97:AK97">SUM(E98:E99)</f>
        <v>0</v>
      </c>
      <c r="F97" s="165">
        <f t="shared" si="91"/>
        <v>0</v>
      </c>
      <c r="G97" s="165">
        <f t="shared" si="91"/>
        <v>0</v>
      </c>
      <c r="H97" s="165">
        <f t="shared" si="91"/>
        <v>0</v>
      </c>
      <c r="I97" s="165">
        <f t="shared" si="91"/>
        <v>0</v>
      </c>
      <c r="J97" s="165">
        <f t="shared" si="91"/>
        <v>0</v>
      </c>
      <c r="K97" s="165">
        <f t="shared" si="91"/>
        <v>0</v>
      </c>
      <c r="L97" s="165">
        <f>SUM(L98:L99)</f>
        <v>0</v>
      </c>
      <c r="M97" s="165">
        <f t="shared" si="91"/>
        <v>0</v>
      </c>
      <c r="N97" s="165">
        <f t="shared" si="91"/>
        <v>0</v>
      </c>
      <c r="O97" s="165">
        <f t="shared" si="91"/>
        <v>0</v>
      </c>
      <c r="P97" s="165">
        <f t="shared" si="91"/>
        <v>0</v>
      </c>
      <c r="Q97" s="165">
        <f t="shared" si="91"/>
        <v>0</v>
      </c>
      <c r="R97" s="165">
        <f>SUM(R98:R99)</f>
        <v>0</v>
      </c>
      <c r="S97" s="165">
        <f>SUM(S98:S99)</f>
        <v>0</v>
      </c>
      <c r="T97" s="165">
        <f>SUM(T98:T99)</f>
        <v>0</v>
      </c>
      <c r="U97" s="165">
        <f>SUM(U98:U99)</f>
        <v>0</v>
      </c>
      <c r="V97" s="165">
        <f>SUM(V98:V99)</f>
        <v>0</v>
      </c>
      <c r="W97" s="165">
        <f>SUM(W98:W99)</f>
        <v>0</v>
      </c>
      <c r="X97" s="165">
        <f>SUM(X98:X99)</f>
        <v>0</v>
      </c>
      <c r="Y97" s="165">
        <f t="shared" si="91"/>
        <v>0</v>
      </c>
      <c r="Z97" s="165">
        <f>SUM(Z98:Z99)</f>
        <v>0</v>
      </c>
      <c r="AA97" s="165">
        <f t="shared" si="91"/>
        <v>0</v>
      </c>
      <c r="AB97" s="165">
        <f t="shared" si="91"/>
        <v>0</v>
      </c>
      <c r="AC97" s="165">
        <f t="shared" si="91"/>
        <v>0</v>
      </c>
      <c r="AD97" s="165">
        <f>SUM(AD98:AD99)</f>
        <v>0</v>
      </c>
      <c r="AE97" s="165">
        <f t="shared" si="91"/>
        <v>0</v>
      </c>
      <c r="AF97" s="165">
        <f>SUM(AF98:AF99)</f>
        <v>40000</v>
      </c>
      <c r="AG97" s="165">
        <f t="shared" si="91"/>
        <v>0</v>
      </c>
      <c r="AH97" s="165">
        <f t="shared" si="91"/>
        <v>0</v>
      </c>
      <c r="AI97" s="165">
        <f t="shared" si="91"/>
        <v>0</v>
      </c>
      <c r="AJ97" s="165">
        <f>SUM(AJ98:AJ99)</f>
        <v>40000</v>
      </c>
      <c r="AK97" s="165">
        <f t="shared" si="91"/>
        <v>0</v>
      </c>
      <c r="AL97" s="165">
        <f>SUM(AL98:AL100)</f>
        <v>4110000</v>
      </c>
      <c r="AM97" s="165">
        <f aca="true" t="shared" si="92" ref="AM97:CD97">SUM(AM98:AM100)</f>
        <v>0</v>
      </c>
      <c r="AN97" s="165">
        <f t="shared" si="92"/>
        <v>0</v>
      </c>
      <c r="AO97" s="165">
        <f t="shared" si="92"/>
        <v>0</v>
      </c>
      <c r="AP97" s="165">
        <f>SUM(AP98:AP100)</f>
        <v>4150000</v>
      </c>
      <c r="AQ97" s="165">
        <f t="shared" si="92"/>
        <v>0</v>
      </c>
      <c r="AR97" s="165">
        <f t="shared" si="92"/>
        <v>0</v>
      </c>
      <c r="AS97" s="165">
        <f t="shared" si="92"/>
        <v>0</v>
      </c>
      <c r="AT97" s="165">
        <f t="shared" si="92"/>
        <v>0</v>
      </c>
      <c r="AU97" s="165">
        <f t="shared" si="92"/>
        <v>0</v>
      </c>
      <c r="AV97" s="165">
        <f>SUM(AV98:AV100)</f>
        <v>4150000</v>
      </c>
      <c r="AW97" s="165">
        <f t="shared" si="92"/>
        <v>0</v>
      </c>
      <c r="AX97" s="165">
        <f t="shared" si="92"/>
        <v>0</v>
      </c>
      <c r="AY97" s="165">
        <f t="shared" si="92"/>
        <v>0</v>
      </c>
      <c r="AZ97" s="165">
        <f t="shared" si="92"/>
        <v>0</v>
      </c>
      <c r="BA97" s="165">
        <f t="shared" si="92"/>
        <v>0</v>
      </c>
      <c r="BB97" s="165">
        <f>SUM(BB98:BB100)</f>
        <v>4150000</v>
      </c>
      <c r="BC97" s="165">
        <f t="shared" si="92"/>
        <v>0</v>
      </c>
      <c r="BD97" s="165">
        <f t="shared" si="92"/>
        <v>0</v>
      </c>
      <c r="BE97" s="165">
        <f t="shared" si="92"/>
        <v>0</v>
      </c>
      <c r="BF97" s="165">
        <f t="shared" si="92"/>
        <v>0</v>
      </c>
      <c r="BG97" s="165">
        <f t="shared" si="92"/>
        <v>0</v>
      </c>
      <c r="BH97" s="165">
        <f t="shared" si="92"/>
        <v>2170000</v>
      </c>
      <c r="BI97" s="165">
        <f t="shared" si="92"/>
        <v>0</v>
      </c>
      <c r="BJ97" s="165">
        <f t="shared" si="92"/>
        <v>0</v>
      </c>
      <c r="BK97" s="165">
        <f t="shared" si="92"/>
        <v>0</v>
      </c>
      <c r="BL97" s="165">
        <f t="shared" si="92"/>
        <v>0</v>
      </c>
      <c r="BM97" s="165">
        <f t="shared" si="92"/>
        <v>0</v>
      </c>
      <c r="BN97" s="165">
        <f t="shared" si="92"/>
        <v>2170000</v>
      </c>
      <c r="BO97" s="165">
        <f t="shared" si="92"/>
        <v>0</v>
      </c>
      <c r="BP97" s="165">
        <f t="shared" si="92"/>
        <v>0</v>
      </c>
      <c r="BQ97" s="165">
        <f t="shared" si="92"/>
        <v>0</v>
      </c>
      <c r="BR97" s="165">
        <f t="shared" si="92"/>
        <v>0</v>
      </c>
      <c r="BS97" s="165">
        <f t="shared" si="92"/>
        <v>0</v>
      </c>
      <c r="BT97" s="165">
        <f t="shared" si="92"/>
        <v>2170000</v>
      </c>
      <c r="BU97" s="165">
        <f t="shared" si="92"/>
        <v>0</v>
      </c>
      <c r="BV97" s="165">
        <f t="shared" si="92"/>
        <v>0</v>
      </c>
      <c r="BW97" s="165">
        <f t="shared" si="92"/>
        <v>0</v>
      </c>
      <c r="BX97" s="165">
        <f t="shared" si="92"/>
        <v>0</v>
      </c>
      <c r="BY97" s="165">
        <f t="shared" si="92"/>
        <v>0</v>
      </c>
      <c r="BZ97" s="165">
        <f t="shared" si="92"/>
        <v>2170000</v>
      </c>
      <c r="CA97" s="165">
        <f t="shared" si="92"/>
        <v>0</v>
      </c>
      <c r="CB97" s="165">
        <f t="shared" si="92"/>
        <v>0</v>
      </c>
      <c r="CC97" s="165">
        <f t="shared" si="92"/>
        <v>0</v>
      </c>
      <c r="CD97" s="165">
        <f t="shared" si="92"/>
        <v>2170000</v>
      </c>
      <c r="CE97" s="167"/>
      <c r="CF97" s="167"/>
    </row>
    <row r="98" spans="1:82" ht="15.75">
      <c r="A98" s="35"/>
      <c r="B98" s="36"/>
      <c r="C98" s="36" t="s">
        <v>344</v>
      </c>
      <c r="D98" s="36"/>
      <c r="E98" s="37"/>
      <c r="F98" s="37"/>
      <c r="G98" s="37"/>
      <c r="H98" s="37"/>
      <c r="I98" s="37"/>
      <c r="J98" s="37"/>
      <c r="K98" s="37"/>
      <c r="L98" s="37">
        <f>SUM(F98-G98+H98)</f>
        <v>0</v>
      </c>
      <c r="M98" s="37"/>
      <c r="N98" s="37"/>
      <c r="O98" s="37"/>
      <c r="P98" s="37"/>
      <c r="Q98" s="37"/>
      <c r="R98" s="37">
        <f>SUM(L98-M98+N98)</f>
        <v>0</v>
      </c>
      <c r="S98" s="37"/>
      <c r="T98" s="37">
        <v>0</v>
      </c>
      <c r="U98" s="37"/>
      <c r="V98" s="37"/>
      <c r="W98" s="37"/>
      <c r="X98" s="37">
        <f>SUM(R98-S98+T98)</f>
        <v>0</v>
      </c>
      <c r="Y98" s="37"/>
      <c r="Z98" s="37"/>
      <c r="AA98" s="37"/>
      <c r="AB98" s="37"/>
      <c r="AC98" s="37"/>
      <c r="AD98" s="37">
        <f>SUM(X98-Y98+Z98)</f>
        <v>0</v>
      </c>
      <c r="AE98" s="37"/>
      <c r="AF98" s="37">
        <v>40000</v>
      </c>
      <c r="AG98" s="37"/>
      <c r="AH98" s="37"/>
      <c r="AI98" s="37"/>
      <c r="AJ98" s="37">
        <f>SUM(AD98-AE98+AF98)</f>
        <v>40000</v>
      </c>
      <c r="AK98" s="37"/>
      <c r="AL98" s="37"/>
      <c r="AM98" s="37"/>
      <c r="AN98" s="37"/>
      <c r="AO98" s="37"/>
      <c r="AP98" s="37">
        <f>SUM(AJ98-AK98+AL98)</f>
        <v>40000</v>
      </c>
      <c r="AQ98" s="37"/>
      <c r="AR98" s="37"/>
      <c r="AS98" s="37"/>
      <c r="AT98" s="37"/>
      <c r="AU98" s="37"/>
      <c r="AV98" s="37">
        <f>SUM(AP98-AQ98+AR98)</f>
        <v>40000</v>
      </c>
      <c r="AW98" s="37"/>
      <c r="AX98" s="37">
        <v>0</v>
      </c>
      <c r="AY98" s="37"/>
      <c r="AZ98" s="37"/>
      <c r="BA98" s="37"/>
      <c r="BB98" s="37">
        <f>SUM(AV98-AW98+AX98)</f>
        <v>40000</v>
      </c>
      <c r="BC98" s="37"/>
      <c r="BD98" s="37">
        <v>0</v>
      </c>
      <c r="BE98" s="37"/>
      <c r="BF98" s="37"/>
      <c r="BG98" s="37"/>
      <c r="BH98" s="37">
        <f>SUM(BB98-BC98+BD98)</f>
        <v>40000</v>
      </c>
      <c r="BI98" s="37"/>
      <c r="BJ98" s="37"/>
      <c r="BK98" s="37"/>
      <c r="BL98" s="37"/>
      <c r="BM98" s="37"/>
      <c r="BN98" s="37">
        <f>SUM(BH98-BI98+BJ98)</f>
        <v>40000</v>
      </c>
      <c r="BO98" s="37"/>
      <c r="BP98" s="37"/>
      <c r="BQ98" s="37"/>
      <c r="BR98" s="37"/>
      <c r="BS98" s="37"/>
      <c r="BT98" s="37">
        <f>SUM(BN98-BO98+BP98)</f>
        <v>40000</v>
      </c>
      <c r="BU98" s="37"/>
      <c r="BV98" s="37"/>
      <c r="BW98" s="37"/>
      <c r="BX98" s="37"/>
      <c r="BY98" s="37"/>
      <c r="BZ98" s="37">
        <f>SUM(BT98-BU98+BV98)</f>
        <v>40000</v>
      </c>
      <c r="CA98" s="37"/>
      <c r="CB98" s="37"/>
      <c r="CC98" s="37"/>
      <c r="CD98" s="14">
        <f>SUM(BX98-BY98+BZ98-CA98+CB98)</f>
        <v>40000</v>
      </c>
    </row>
    <row r="99" spans="1:82" ht="15.75">
      <c r="A99" s="71"/>
      <c r="B99" s="72"/>
      <c r="C99" s="72" t="s">
        <v>563</v>
      </c>
      <c r="D99" s="72"/>
      <c r="E99" s="56"/>
      <c r="F99" s="56"/>
      <c r="G99" s="56"/>
      <c r="H99" s="56"/>
      <c r="I99" s="56"/>
      <c r="J99" s="56"/>
      <c r="K99" s="56"/>
      <c r="L99" s="56">
        <f>SUM(F99-G99+H99)</f>
        <v>0</v>
      </c>
      <c r="M99" s="56"/>
      <c r="N99" s="56"/>
      <c r="O99" s="56"/>
      <c r="P99" s="56"/>
      <c r="Q99" s="56"/>
      <c r="R99" s="56">
        <f>SUM(L99-M99+N99)</f>
        <v>0</v>
      </c>
      <c r="S99" s="56"/>
      <c r="T99" s="56">
        <v>0</v>
      </c>
      <c r="U99" s="56"/>
      <c r="V99" s="56"/>
      <c r="W99" s="56"/>
      <c r="X99" s="56">
        <f>SUM(R99-S99+T99)</f>
        <v>0</v>
      </c>
      <c r="Y99" s="56"/>
      <c r="Z99" s="56"/>
      <c r="AA99" s="56"/>
      <c r="AB99" s="56"/>
      <c r="AC99" s="56"/>
      <c r="AD99" s="56">
        <f>SUM(X99-Y99+Z99)</f>
        <v>0</v>
      </c>
      <c r="AE99" s="56"/>
      <c r="AF99" s="56"/>
      <c r="AG99" s="56"/>
      <c r="AH99" s="56"/>
      <c r="AI99" s="56"/>
      <c r="AJ99" s="56">
        <f>SUM(AD99-AE99+AF99)</f>
        <v>0</v>
      </c>
      <c r="AK99" s="56"/>
      <c r="AL99" s="56">
        <v>2130000</v>
      </c>
      <c r="AM99" s="56"/>
      <c r="AN99" s="56"/>
      <c r="AO99" s="56"/>
      <c r="AP99" s="56">
        <f>SUM(AJ99-AK99+AL99)</f>
        <v>2130000</v>
      </c>
      <c r="AQ99" s="56"/>
      <c r="AR99" s="56">
        <v>0</v>
      </c>
      <c r="AS99" s="56"/>
      <c r="AT99" s="56"/>
      <c r="AU99" s="56"/>
      <c r="AV99" s="56">
        <f>SUM(AP99-AQ99+AR99)</f>
        <v>2130000</v>
      </c>
      <c r="AW99" s="56"/>
      <c r="AX99" s="56">
        <v>0</v>
      </c>
      <c r="AY99" s="56"/>
      <c r="AZ99" s="56"/>
      <c r="BA99" s="56"/>
      <c r="BB99" s="56">
        <f>SUM(AV99-AW99+AX99)</f>
        <v>2130000</v>
      </c>
      <c r="BC99" s="56"/>
      <c r="BD99" s="56">
        <v>0</v>
      </c>
      <c r="BE99" s="56"/>
      <c r="BF99" s="56"/>
      <c r="BG99" s="56"/>
      <c r="BH99" s="56">
        <f>SUM(BB99-BC99+BD99)</f>
        <v>2130000</v>
      </c>
      <c r="BI99" s="56"/>
      <c r="BJ99" s="56"/>
      <c r="BK99" s="56"/>
      <c r="BL99" s="56"/>
      <c r="BM99" s="56"/>
      <c r="BN99" s="56">
        <f>SUM(BH99-BI99+BJ99)</f>
        <v>2130000</v>
      </c>
      <c r="BO99" s="56"/>
      <c r="BP99" s="56"/>
      <c r="BQ99" s="56"/>
      <c r="BR99" s="56"/>
      <c r="BS99" s="56"/>
      <c r="BT99" s="56">
        <f>SUM(BN99-BO99+BP99)</f>
        <v>2130000</v>
      </c>
      <c r="BU99" s="56"/>
      <c r="BV99" s="56"/>
      <c r="BW99" s="56"/>
      <c r="BX99" s="56"/>
      <c r="BY99" s="56"/>
      <c r="BZ99" s="56">
        <f>SUM(BT99-BU99+BV99)</f>
        <v>2130000</v>
      </c>
      <c r="CA99" s="56"/>
      <c r="CB99" s="56"/>
      <c r="CC99" s="56"/>
      <c r="CD99" s="56">
        <f>SUM(BX99-BY99+BZ99-CA99+CB99)</f>
        <v>2130000</v>
      </c>
    </row>
    <row r="100" spans="1:84" s="72" customFormat="1" ht="15.75">
      <c r="A100" s="41"/>
      <c r="B100" s="42"/>
      <c r="C100" s="453" t="s">
        <v>564</v>
      </c>
      <c r="D100" s="454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>
        <v>1980000</v>
      </c>
      <c r="AM100" s="43"/>
      <c r="AN100" s="43"/>
      <c r="AO100" s="43"/>
      <c r="AP100" s="56">
        <f>SUM(AJ100-AK100+AL100)</f>
        <v>1980000</v>
      </c>
      <c r="AQ100" s="43"/>
      <c r="AR100" s="43"/>
      <c r="AS100" s="43"/>
      <c r="AT100" s="43"/>
      <c r="AU100" s="43"/>
      <c r="AV100" s="56">
        <f>SUM(AP100-AQ100+AR100)</f>
        <v>1980000</v>
      </c>
      <c r="AW100" s="43"/>
      <c r="AX100" s="43">
        <v>0</v>
      </c>
      <c r="AY100" s="43"/>
      <c r="AZ100" s="43"/>
      <c r="BA100" s="43"/>
      <c r="BB100" s="56">
        <f>SUM(AV100-AW100+AX100)</f>
        <v>1980000</v>
      </c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144"/>
      <c r="CF100" s="144"/>
    </row>
    <row r="101" spans="1:84" s="168" customFormat="1" ht="15.75">
      <c r="A101" s="163"/>
      <c r="B101" s="164" t="s">
        <v>484</v>
      </c>
      <c r="C101" s="164"/>
      <c r="D101" s="164"/>
      <c r="E101" s="165">
        <f>SUM(E102:E107)</f>
        <v>0</v>
      </c>
      <c r="F101" s="165">
        <f>SUM(F102:F107)</f>
        <v>0</v>
      </c>
      <c r="G101" s="165">
        <f>SUM(G102:G112)</f>
        <v>0</v>
      </c>
      <c r="H101" s="165">
        <f>SUM(H102:H112)</f>
        <v>0</v>
      </c>
      <c r="I101" s="165">
        <f>SUM(I102:I112)</f>
        <v>0</v>
      </c>
      <c r="J101" s="165">
        <f>SUM(J102:J112)</f>
        <v>0</v>
      </c>
      <c r="K101" s="165">
        <f>SUM(K102:K112)</f>
        <v>0</v>
      </c>
      <c r="L101" s="165">
        <f>SUM(L102:L112)</f>
        <v>0</v>
      </c>
      <c r="M101" s="165">
        <f>SUM(M102:M107)</f>
        <v>0</v>
      </c>
      <c r="N101" s="165">
        <f>SUM(N102:N112)</f>
        <v>4303766</v>
      </c>
      <c r="O101" s="165">
        <f>SUM(O102:O112)</f>
        <v>0</v>
      </c>
      <c r="P101" s="165">
        <f>SUM(P102:P112)</f>
        <v>0</v>
      </c>
      <c r="Q101" s="165">
        <f>SUM(Q102:Q107)</f>
        <v>0</v>
      </c>
      <c r="R101" s="165">
        <f>SUM(R102:R112)</f>
        <v>4303766</v>
      </c>
      <c r="S101" s="165">
        <f aca="true" t="shared" si="93" ref="S101:CD101">SUM(S102:S112)</f>
        <v>0</v>
      </c>
      <c r="T101" s="165">
        <f>SUM(T102:T112)</f>
        <v>1103900</v>
      </c>
      <c r="U101" s="165">
        <f t="shared" si="93"/>
        <v>0</v>
      </c>
      <c r="V101" s="165">
        <f t="shared" si="93"/>
        <v>0</v>
      </c>
      <c r="W101" s="165">
        <f t="shared" si="93"/>
        <v>0</v>
      </c>
      <c r="X101" s="165">
        <f>SUM(X102:X112)</f>
        <v>5407666</v>
      </c>
      <c r="Y101" s="165">
        <f t="shared" si="93"/>
        <v>0</v>
      </c>
      <c r="Z101" s="165">
        <f>SUM(Z102:Z112)</f>
        <v>807200</v>
      </c>
      <c r="AA101" s="165">
        <f t="shared" si="93"/>
        <v>0</v>
      </c>
      <c r="AB101" s="165">
        <f t="shared" si="93"/>
        <v>0</v>
      </c>
      <c r="AC101" s="165">
        <f t="shared" si="93"/>
        <v>0</v>
      </c>
      <c r="AD101" s="165">
        <f>SUM(AD102:AD112)</f>
        <v>6214866</v>
      </c>
      <c r="AE101" s="165">
        <f t="shared" si="93"/>
        <v>0</v>
      </c>
      <c r="AF101" s="165">
        <f>SUM(AF102:AF112)</f>
        <v>321265</v>
      </c>
      <c r="AG101" s="165">
        <f t="shared" si="93"/>
        <v>0</v>
      </c>
      <c r="AH101" s="165">
        <f t="shared" si="93"/>
        <v>0</v>
      </c>
      <c r="AI101" s="165">
        <f t="shared" si="93"/>
        <v>0</v>
      </c>
      <c r="AJ101" s="165">
        <f t="shared" si="93"/>
        <v>6536131</v>
      </c>
      <c r="AK101" s="165">
        <f t="shared" si="93"/>
        <v>0</v>
      </c>
      <c r="AL101" s="165">
        <f>SUM(AL102:AL112)</f>
        <v>2169570</v>
      </c>
      <c r="AM101" s="165">
        <f t="shared" si="93"/>
        <v>0</v>
      </c>
      <c r="AN101" s="165">
        <f t="shared" si="93"/>
        <v>0</v>
      </c>
      <c r="AO101" s="165">
        <f t="shared" si="93"/>
        <v>0</v>
      </c>
      <c r="AP101" s="165">
        <f>SUM(AP102:AP112)</f>
        <v>8705701</v>
      </c>
      <c r="AQ101" s="165">
        <f t="shared" si="93"/>
        <v>0</v>
      </c>
      <c r="AR101" s="165">
        <f t="shared" si="93"/>
        <v>513154</v>
      </c>
      <c r="AS101" s="165">
        <f t="shared" si="93"/>
        <v>0</v>
      </c>
      <c r="AT101" s="165">
        <f t="shared" si="93"/>
        <v>0</v>
      </c>
      <c r="AU101" s="165">
        <f t="shared" si="93"/>
        <v>0</v>
      </c>
      <c r="AV101" s="165">
        <f>SUM(AV102:AV112)</f>
        <v>9218855</v>
      </c>
      <c r="AW101" s="165">
        <f t="shared" si="93"/>
        <v>0</v>
      </c>
      <c r="AX101" s="165">
        <f t="shared" si="93"/>
        <v>946400</v>
      </c>
      <c r="AY101" s="165">
        <f t="shared" si="93"/>
        <v>0</v>
      </c>
      <c r="AZ101" s="165">
        <f t="shared" si="93"/>
        <v>0</v>
      </c>
      <c r="BA101" s="165">
        <f t="shared" si="93"/>
        <v>0</v>
      </c>
      <c r="BB101" s="165">
        <f>SUM(BB102:BB112)</f>
        <v>10165255</v>
      </c>
      <c r="BC101" s="165">
        <f t="shared" si="93"/>
        <v>0</v>
      </c>
      <c r="BD101" s="165">
        <f t="shared" si="93"/>
        <v>0</v>
      </c>
      <c r="BE101" s="165">
        <f>SUM(BE102:BE112)</f>
        <v>0</v>
      </c>
      <c r="BF101" s="165">
        <f>SUM(BF102:BF112)</f>
        <v>0</v>
      </c>
      <c r="BG101" s="165">
        <f>SUM(BG102:BG112)</f>
        <v>0</v>
      </c>
      <c r="BH101" s="165">
        <f>SUM(BH102:BH112)</f>
        <v>10165255</v>
      </c>
      <c r="BI101" s="165">
        <f t="shared" si="93"/>
        <v>0</v>
      </c>
      <c r="BJ101" s="165">
        <f t="shared" si="93"/>
        <v>0</v>
      </c>
      <c r="BK101" s="165">
        <f t="shared" si="93"/>
        <v>0</v>
      </c>
      <c r="BL101" s="165">
        <f t="shared" si="93"/>
        <v>0</v>
      </c>
      <c r="BM101" s="165">
        <f t="shared" si="93"/>
        <v>0</v>
      </c>
      <c r="BN101" s="165">
        <f>SUM(BN102:BN112)</f>
        <v>10165255</v>
      </c>
      <c r="BO101" s="165">
        <f t="shared" si="93"/>
        <v>0</v>
      </c>
      <c r="BP101" s="165">
        <f>SUM(BP102:BP112)</f>
        <v>0</v>
      </c>
      <c r="BQ101" s="165">
        <f t="shared" si="93"/>
        <v>0</v>
      </c>
      <c r="BR101" s="165">
        <f t="shared" si="93"/>
        <v>0</v>
      </c>
      <c r="BS101" s="165">
        <f t="shared" si="93"/>
        <v>0</v>
      </c>
      <c r="BT101" s="165">
        <f>SUM(BT102:BT112)</f>
        <v>10165255</v>
      </c>
      <c r="BU101" s="165">
        <f>SUM(BU102:BU112)</f>
        <v>0</v>
      </c>
      <c r="BV101" s="165">
        <f>SUM(BV102:BV112)</f>
        <v>0</v>
      </c>
      <c r="BW101" s="165">
        <f t="shared" si="93"/>
        <v>0</v>
      </c>
      <c r="BX101" s="165">
        <f t="shared" si="93"/>
        <v>0</v>
      </c>
      <c r="BY101" s="165">
        <f t="shared" si="93"/>
        <v>0</v>
      </c>
      <c r="BZ101" s="165">
        <f>SUM(BZ102:BZ112)</f>
        <v>10165255</v>
      </c>
      <c r="CA101" s="166">
        <f>SUM(CA102:CA112)</f>
        <v>0</v>
      </c>
      <c r="CB101" s="166">
        <f t="shared" si="93"/>
        <v>0</v>
      </c>
      <c r="CC101" s="165">
        <f t="shared" si="93"/>
        <v>0</v>
      </c>
      <c r="CD101" s="165">
        <f t="shared" si="93"/>
        <v>10165255</v>
      </c>
      <c r="CE101" s="167"/>
      <c r="CF101" s="167"/>
    </row>
    <row r="102" spans="1:82" ht="15.75">
      <c r="A102" s="35"/>
      <c r="B102" s="36"/>
      <c r="C102" s="36" t="s">
        <v>486</v>
      </c>
      <c r="D102" s="36"/>
      <c r="E102" s="37"/>
      <c r="F102" s="37"/>
      <c r="G102" s="37"/>
      <c r="H102" s="37"/>
      <c r="I102" s="37"/>
      <c r="J102" s="37"/>
      <c r="K102" s="37"/>
      <c r="L102" s="37">
        <f>SUM(F102-G102+H102-I102+J102)</f>
        <v>0</v>
      </c>
      <c r="M102" s="37"/>
      <c r="N102" s="37">
        <v>2434800</v>
      </c>
      <c r="O102" s="37"/>
      <c r="P102" s="37"/>
      <c r="Q102" s="37"/>
      <c r="R102" s="37">
        <f aca="true" t="shared" si="94" ref="R102:R112">SUM(L102-M102+N102-O102+P102)</f>
        <v>2434800</v>
      </c>
      <c r="S102" s="37"/>
      <c r="T102" s="37">
        <v>807200</v>
      </c>
      <c r="U102" s="37"/>
      <c r="V102" s="37"/>
      <c r="W102" s="37"/>
      <c r="X102" s="37">
        <f aca="true" t="shared" si="95" ref="X102:X112">SUM(R102-S102+T102-U102+V102)</f>
        <v>3242000</v>
      </c>
      <c r="Y102" s="37"/>
      <c r="Z102" s="37">
        <v>807200</v>
      </c>
      <c r="AA102" s="37"/>
      <c r="AB102" s="37"/>
      <c r="AC102" s="37"/>
      <c r="AD102" s="37">
        <f aca="true" t="shared" si="96" ref="AD102:AD111">SUM(X102-Y102+Z102-AA102+AB102)</f>
        <v>4049200</v>
      </c>
      <c r="AE102" s="37"/>
      <c r="AF102" s="37"/>
      <c r="AG102" s="37"/>
      <c r="AH102" s="37"/>
      <c r="AI102" s="37"/>
      <c r="AJ102" s="37">
        <f aca="true" t="shared" si="97" ref="AJ102:AJ111">SUM(AD102-AE102+AF102-AG102+AH102)</f>
        <v>4049200</v>
      </c>
      <c r="AK102" s="37"/>
      <c r="AL102" s="37">
        <v>1614400</v>
      </c>
      <c r="AM102" s="37"/>
      <c r="AN102" s="37"/>
      <c r="AO102" s="37"/>
      <c r="AP102" s="37">
        <f aca="true" t="shared" si="98" ref="AP102:AP111">SUM(AJ102-AK102+AL102-AM102+AN102)</f>
        <v>5663600</v>
      </c>
      <c r="AQ102" s="37"/>
      <c r="AR102" s="37"/>
      <c r="AS102" s="37"/>
      <c r="AT102" s="37"/>
      <c r="AU102" s="37"/>
      <c r="AV102" s="37">
        <f aca="true" t="shared" si="99" ref="AV102:AV111">SUM(AP102-AQ102+AR102-AS102+AT102)</f>
        <v>5663600</v>
      </c>
      <c r="AW102" s="37"/>
      <c r="AX102" s="37">
        <v>807200</v>
      </c>
      <c r="AY102" s="37"/>
      <c r="AZ102" s="37"/>
      <c r="BA102" s="37"/>
      <c r="BB102" s="37">
        <f aca="true" t="shared" si="100" ref="BB102:BB111">SUM(AV102-AW102+AX102-AY102+AZ102)</f>
        <v>6470800</v>
      </c>
      <c r="BC102" s="37"/>
      <c r="BD102" s="37"/>
      <c r="BE102" s="37"/>
      <c r="BF102" s="37"/>
      <c r="BG102" s="37"/>
      <c r="BH102" s="37">
        <f aca="true" t="shared" si="101" ref="BH102:BH111">SUM(BB102-BC102+BD102-BE102+BF102)</f>
        <v>6470800</v>
      </c>
      <c r="BI102" s="37"/>
      <c r="BJ102" s="37"/>
      <c r="BK102" s="37"/>
      <c r="BL102" s="37"/>
      <c r="BM102" s="37"/>
      <c r="BN102" s="37">
        <f aca="true" t="shared" si="102" ref="BN102:BN109">SUM(BH102-BI102+BJ102-BK102+BL102)</f>
        <v>6470800</v>
      </c>
      <c r="BO102" s="37"/>
      <c r="BP102" s="37"/>
      <c r="BQ102" s="37"/>
      <c r="BR102" s="37"/>
      <c r="BS102" s="37"/>
      <c r="BT102" s="37">
        <f aca="true" t="shared" si="103" ref="BT102:BT107">SUM(BN102-BO102+BP102-BQ102+BR102)</f>
        <v>6470800</v>
      </c>
      <c r="BU102" s="37"/>
      <c r="BV102" s="37"/>
      <c r="BW102" s="37"/>
      <c r="BX102" s="37"/>
      <c r="BY102" s="37"/>
      <c r="BZ102" s="37">
        <f aca="true" t="shared" si="104" ref="BZ102:BZ112">SUM(BT102-BU102+BV102-BW102+BX102)</f>
        <v>6470800</v>
      </c>
      <c r="CA102" s="37"/>
      <c r="CB102" s="37"/>
      <c r="CC102" s="37"/>
      <c r="CD102" s="37">
        <f>SUM(BX102-BY102+BZ102-CA102+CB102)</f>
        <v>6470800</v>
      </c>
    </row>
    <row r="103" spans="1:82" ht="15.75">
      <c r="A103" s="38"/>
      <c r="B103" s="39"/>
      <c r="C103" s="39" t="s">
        <v>487</v>
      </c>
      <c r="D103" s="39"/>
      <c r="E103" s="40"/>
      <c r="F103" s="40"/>
      <c r="G103" s="40"/>
      <c r="H103" s="40"/>
      <c r="I103" s="40"/>
      <c r="J103" s="40"/>
      <c r="K103" s="40"/>
      <c r="L103" s="40">
        <f>SUM(F103-G103+H103-I103+J103)</f>
        <v>0</v>
      </c>
      <c r="M103" s="40"/>
      <c r="N103" s="40">
        <v>262500</v>
      </c>
      <c r="O103" s="40"/>
      <c r="P103" s="40"/>
      <c r="Q103" s="40"/>
      <c r="R103" s="40">
        <f t="shared" si="94"/>
        <v>262500</v>
      </c>
      <c r="S103" s="40"/>
      <c r="T103" s="40">
        <v>296700</v>
      </c>
      <c r="U103" s="40"/>
      <c r="V103" s="40"/>
      <c r="W103" s="40"/>
      <c r="X103" s="40">
        <f t="shared" si="95"/>
        <v>559200</v>
      </c>
      <c r="Y103" s="40"/>
      <c r="Z103" s="40">
        <v>0</v>
      </c>
      <c r="AA103" s="40"/>
      <c r="AB103" s="40"/>
      <c r="AC103" s="40"/>
      <c r="AD103" s="40">
        <f t="shared" si="96"/>
        <v>559200</v>
      </c>
      <c r="AE103" s="40"/>
      <c r="AF103" s="40"/>
      <c r="AG103" s="40"/>
      <c r="AH103" s="40"/>
      <c r="AI103" s="40"/>
      <c r="AJ103" s="40">
        <f t="shared" si="97"/>
        <v>559200</v>
      </c>
      <c r="AK103" s="40"/>
      <c r="AL103" s="40">
        <v>417600</v>
      </c>
      <c r="AM103" s="40"/>
      <c r="AN103" s="40"/>
      <c r="AO103" s="40"/>
      <c r="AP103" s="40">
        <f t="shared" si="98"/>
        <v>976800</v>
      </c>
      <c r="AQ103" s="40"/>
      <c r="AR103" s="40"/>
      <c r="AS103" s="40"/>
      <c r="AT103" s="40"/>
      <c r="AU103" s="40"/>
      <c r="AV103" s="40">
        <f t="shared" si="99"/>
        <v>976800</v>
      </c>
      <c r="AW103" s="40"/>
      <c r="AX103" s="40">
        <v>139200</v>
      </c>
      <c r="AY103" s="40"/>
      <c r="AZ103" s="40"/>
      <c r="BA103" s="40"/>
      <c r="BB103" s="40">
        <f t="shared" si="100"/>
        <v>1116000</v>
      </c>
      <c r="BC103" s="40"/>
      <c r="BD103" s="40"/>
      <c r="BE103" s="40"/>
      <c r="BF103" s="40"/>
      <c r="BG103" s="40"/>
      <c r="BH103" s="40">
        <f t="shared" si="101"/>
        <v>1116000</v>
      </c>
      <c r="BI103" s="40"/>
      <c r="BJ103" s="40"/>
      <c r="BK103" s="40"/>
      <c r="BL103" s="40"/>
      <c r="BM103" s="40"/>
      <c r="BN103" s="40">
        <f t="shared" si="102"/>
        <v>1116000</v>
      </c>
      <c r="BO103" s="40"/>
      <c r="BP103" s="40"/>
      <c r="BQ103" s="40"/>
      <c r="BR103" s="40"/>
      <c r="BS103" s="40"/>
      <c r="BT103" s="40">
        <f t="shared" si="103"/>
        <v>1116000</v>
      </c>
      <c r="BU103" s="40"/>
      <c r="BV103" s="40"/>
      <c r="BW103" s="40"/>
      <c r="BX103" s="40"/>
      <c r="BY103" s="40"/>
      <c r="BZ103" s="40">
        <f t="shared" si="104"/>
        <v>1116000</v>
      </c>
      <c r="CA103" s="40"/>
      <c r="CB103" s="40"/>
      <c r="CC103" s="40"/>
      <c r="CD103" s="40">
        <f aca="true" t="shared" si="105" ref="CD103:CD112">SUM(BX103-BY103+BZ103-CA103+CB103)</f>
        <v>1116000</v>
      </c>
    </row>
    <row r="104" spans="1:82" ht="15.75">
      <c r="A104" s="38"/>
      <c r="B104" s="39"/>
      <c r="C104" s="39"/>
      <c r="D104" s="39"/>
      <c r="E104" s="40"/>
      <c r="F104" s="40"/>
      <c r="G104" s="40"/>
      <c r="H104" s="40"/>
      <c r="I104" s="40"/>
      <c r="J104" s="40"/>
      <c r="K104" s="40"/>
      <c r="L104" s="40">
        <f>SUM(F104-G104+H104-I104+J104)</f>
        <v>0</v>
      </c>
      <c r="M104" s="40"/>
      <c r="N104" s="40">
        <v>0</v>
      </c>
      <c r="O104" s="40"/>
      <c r="P104" s="40"/>
      <c r="Q104" s="40"/>
      <c r="R104" s="40">
        <f t="shared" si="94"/>
        <v>0</v>
      </c>
      <c r="S104" s="40"/>
      <c r="T104" s="40"/>
      <c r="U104" s="40"/>
      <c r="V104" s="40"/>
      <c r="W104" s="40"/>
      <c r="X104" s="40">
        <f t="shared" si="95"/>
        <v>0</v>
      </c>
      <c r="Y104" s="40"/>
      <c r="Z104" s="40"/>
      <c r="AA104" s="40"/>
      <c r="AB104" s="40"/>
      <c r="AC104" s="40"/>
      <c r="AD104" s="40">
        <f t="shared" si="96"/>
        <v>0</v>
      </c>
      <c r="AE104" s="40"/>
      <c r="AF104" s="203"/>
      <c r="AG104" s="40"/>
      <c r="AH104" s="40"/>
      <c r="AI104" s="40"/>
      <c r="AJ104" s="40">
        <f t="shared" si="97"/>
        <v>0</v>
      </c>
      <c r="AK104" s="40"/>
      <c r="AL104" s="40"/>
      <c r="AM104" s="40"/>
      <c r="AN104" s="40"/>
      <c r="AO104" s="40"/>
      <c r="AP104" s="40">
        <f t="shared" si="98"/>
        <v>0</v>
      </c>
      <c r="AQ104" s="40"/>
      <c r="AR104" s="40"/>
      <c r="AS104" s="40"/>
      <c r="AT104" s="40"/>
      <c r="AU104" s="40"/>
      <c r="AV104" s="40">
        <f t="shared" si="99"/>
        <v>0</v>
      </c>
      <c r="AW104" s="40"/>
      <c r="AX104" s="40"/>
      <c r="AY104" s="40"/>
      <c r="AZ104" s="40"/>
      <c r="BA104" s="40"/>
      <c r="BB104" s="40">
        <f t="shared" si="100"/>
        <v>0</v>
      </c>
      <c r="BC104" s="40"/>
      <c r="BD104" s="40"/>
      <c r="BE104" s="40"/>
      <c r="BF104" s="40"/>
      <c r="BG104" s="40"/>
      <c r="BH104" s="40">
        <f t="shared" si="101"/>
        <v>0</v>
      </c>
      <c r="BI104" s="40"/>
      <c r="BJ104" s="40"/>
      <c r="BK104" s="40"/>
      <c r="BL104" s="40"/>
      <c r="BM104" s="40"/>
      <c r="BN104" s="40">
        <f t="shared" si="102"/>
        <v>0</v>
      </c>
      <c r="BO104" s="40"/>
      <c r="BP104" s="40"/>
      <c r="BQ104" s="40"/>
      <c r="BR104" s="40"/>
      <c r="BS104" s="40"/>
      <c r="BT104" s="40">
        <f t="shared" si="103"/>
        <v>0</v>
      </c>
      <c r="BU104" s="40"/>
      <c r="BV104" s="40"/>
      <c r="BW104" s="40"/>
      <c r="BX104" s="40"/>
      <c r="BY104" s="40"/>
      <c r="BZ104" s="40">
        <f t="shared" si="104"/>
        <v>0</v>
      </c>
      <c r="CA104" s="40"/>
      <c r="CB104" s="40"/>
      <c r="CC104" s="40"/>
      <c r="CD104" s="40">
        <f t="shared" si="105"/>
        <v>0</v>
      </c>
    </row>
    <row r="105" spans="1:82" ht="15.75">
      <c r="A105" s="38"/>
      <c r="B105" s="39"/>
      <c r="C105" s="39" t="s">
        <v>366</v>
      </c>
      <c r="D105" s="39"/>
      <c r="E105" s="40"/>
      <c r="F105" s="40"/>
      <c r="G105" s="40"/>
      <c r="H105" s="40"/>
      <c r="I105" s="40"/>
      <c r="J105" s="40"/>
      <c r="K105" s="40"/>
      <c r="L105" s="40">
        <f>SUM(F105-G105+H105-I105+J105)</f>
        <v>0</v>
      </c>
      <c r="M105" s="40"/>
      <c r="N105" s="40">
        <v>207480</v>
      </c>
      <c r="O105" s="40"/>
      <c r="P105" s="40"/>
      <c r="Q105" s="40"/>
      <c r="R105" s="40">
        <f t="shared" si="94"/>
        <v>207480</v>
      </c>
      <c r="S105" s="40"/>
      <c r="T105" s="40"/>
      <c r="U105" s="40"/>
      <c r="V105" s="40"/>
      <c r="W105" s="40"/>
      <c r="X105" s="40">
        <f t="shared" si="95"/>
        <v>207480</v>
      </c>
      <c r="Y105" s="40"/>
      <c r="Z105" s="40"/>
      <c r="AA105" s="40"/>
      <c r="AB105" s="40"/>
      <c r="AC105" s="40"/>
      <c r="AD105" s="40">
        <f t="shared" si="96"/>
        <v>207480</v>
      </c>
      <c r="AE105" s="40"/>
      <c r="AF105" s="40">
        <v>207480</v>
      </c>
      <c r="AG105" s="40"/>
      <c r="AH105" s="40"/>
      <c r="AI105" s="40"/>
      <c r="AJ105" s="40">
        <f t="shared" si="97"/>
        <v>414960</v>
      </c>
      <c r="AK105" s="40"/>
      <c r="AL105" s="40"/>
      <c r="AM105" s="40"/>
      <c r="AN105" s="40"/>
      <c r="AO105" s="40"/>
      <c r="AP105" s="40">
        <f t="shared" si="98"/>
        <v>414960</v>
      </c>
      <c r="AQ105" s="40"/>
      <c r="AR105" s="40">
        <v>300242</v>
      </c>
      <c r="AS105" s="40"/>
      <c r="AT105" s="40"/>
      <c r="AU105" s="40"/>
      <c r="AV105" s="40">
        <f t="shared" si="99"/>
        <v>715202</v>
      </c>
      <c r="AW105" s="40"/>
      <c r="AX105" s="40">
        <v>0</v>
      </c>
      <c r="AY105" s="40"/>
      <c r="AZ105" s="40"/>
      <c r="BA105" s="40"/>
      <c r="BB105" s="40">
        <f t="shared" si="100"/>
        <v>715202</v>
      </c>
      <c r="BC105" s="40"/>
      <c r="BD105" s="40"/>
      <c r="BE105" s="40"/>
      <c r="BF105" s="40"/>
      <c r="BG105" s="40"/>
      <c r="BH105" s="40">
        <f t="shared" si="101"/>
        <v>715202</v>
      </c>
      <c r="BI105" s="40"/>
      <c r="BJ105" s="40"/>
      <c r="BK105" s="40"/>
      <c r="BL105" s="40"/>
      <c r="BM105" s="40"/>
      <c r="BN105" s="40">
        <f t="shared" si="102"/>
        <v>715202</v>
      </c>
      <c r="BO105" s="40"/>
      <c r="BP105" s="40"/>
      <c r="BQ105" s="40"/>
      <c r="BR105" s="40"/>
      <c r="BS105" s="40"/>
      <c r="BT105" s="40">
        <f t="shared" si="103"/>
        <v>715202</v>
      </c>
      <c r="BU105" s="40"/>
      <c r="BV105" s="40"/>
      <c r="BW105" s="40"/>
      <c r="BX105" s="40"/>
      <c r="BY105" s="40"/>
      <c r="BZ105" s="40">
        <f t="shared" si="104"/>
        <v>715202</v>
      </c>
      <c r="CA105" s="40"/>
      <c r="CB105" s="40"/>
      <c r="CC105" s="40"/>
      <c r="CD105" s="40">
        <f t="shared" si="105"/>
        <v>715202</v>
      </c>
    </row>
    <row r="106" spans="1:82" ht="15.75">
      <c r="A106" s="38"/>
      <c r="B106" s="39"/>
      <c r="C106" s="39" t="s">
        <v>367</v>
      </c>
      <c r="D106" s="39"/>
      <c r="E106" s="40"/>
      <c r="F106" s="40"/>
      <c r="G106" s="40"/>
      <c r="H106" s="40"/>
      <c r="I106" s="40"/>
      <c r="J106" s="40"/>
      <c r="K106" s="40"/>
      <c r="L106" s="40">
        <f>SUM(F106-G106+H106-I106+J106)</f>
        <v>0</v>
      </c>
      <c r="M106" s="40"/>
      <c r="N106" s="40">
        <v>125100</v>
      </c>
      <c r="O106" s="40"/>
      <c r="P106" s="40"/>
      <c r="Q106" s="40"/>
      <c r="R106" s="40">
        <f t="shared" si="94"/>
        <v>125100</v>
      </c>
      <c r="S106" s="40"/>
      <c r="T106" s="40"/>
      <c r="U106" s="40"/>
      <c r="V106" s="40"/>
      <c r="W106" s="40"/>
      <c r="X106" s="40">
        <f t="shared" si="95"/>
        <v>125100</v>
      </c>
      <c r="Y106" s="40"/>
      <c r="Z106" s="40"/>
      <c r="AA106" s="40"/>
      <c r="AB106" s="40"/>
      <c r="AC106" s="40"/>
      <c r="AD106" s="40">
        <f t="shared" si="96"/>
        <v>125100</v>
      </c>
      <c r="AE106" s="40"/>
      <c r="AF106" s="40">
        <v>41700</v>
      </c>
      <c r="AG106" s="40"/>
      <c r="AH106" s="40"/>
      <c r="AI106" s="40"/>
      <c r="AJ106" s="40">
        <f t="shared" si="97"/>
        <v>166800</v>
      </c>
      <c r="AK106" s="40"/>
      <c r="AL106" s="40">
        <v>83400</v>
      </c>
      <c r="AM106" s="40"/>
      <c r="AN106" s="40"/>
      <c r="AO106" s="40"/>
      <c r="AP106" s="40">
        <f t="shared" si="98"/>
        <v>250200</v>
      </c>
      <c r="AQ106" s="40"/>
      <c r="AR106" s="40">
        <v>61107</v>
      </c>
      <c r="AS106" s="40"/>
      <c r="AT106" s="40"/>
      <c r="AU106" s="40"/>
      <c r="AV106" s="40">
        <f t="shared" si="99"/>
        <v>311307</v>
      </c>
      <c r="AW106" s="40"/>
      <c r="AX106" s="40">
        <v>0</v>
      </c>
      <c r="AY106" s="40"/>
      <c r="AZ106" s="40"/>
      <c r="BA106" s="40"/>
      <c r="BB106" s="40">
        <f t="shared" si="100"/>
        <v>311307</v>
      </c>
      <c r="BC106" s="40"/>
      <c r="BD106" s="40"/>
      <c r="BE106" s="40"/>
      <c r="BF106" s="40"/>
      <c r="BG106" s="40"/>
      <c r="BH106" s="40">
        <f t="shared" si="101"/>
        <v>311307</v>
      </c>
      <c r="BI106" s="40"/>
      <c r="BJ106" s="40"/>
      <c r="BK106" s="40"/>
      <c r="BL106" s="40"/>
      <c r="BM106" s="40"/>
      <c r="BN106" s="40">
        <f t="shared" si="102"/>
        <v>311307</v>
      </c>
      <c r="BO106" s="40"/>
      <c r="BP106" s="40"/>
      <c r="BQ106" s="40"/>
      <c r="BR106" s="40"/>
      <c r="BS106" s="40"/>
      <c r="BT106" s="40">
        <f t="shared" si="103"/>
        <v>311307</v>
      </c>
      <c r="BU106" s="40"/>
      <c r="BV106" s="40"/>
      <c r="BW106" s="40"/>
      <c r="BX106" s="40"/>
      <c r="BY106" s="40"/>
      <c r="BZ106" s="40">
        <f t="shared" si="104"/>
        <v>311307</v>
      </c>
      <c r="CA106" s="40"/>
      <c r="CB106" s="40"/>
      <c r="CC106" s="40"/>
      <c r="CD106" s="40">
        <f t="shared" si="105"/>
        <v>311307</v>
      </c>
    </row>
    <row r="107" spans="1:82" ht="15.75">
      <c r="A107" s="71"/>
      <c r="B107" s="72"/>
      <c r="C107" s="39" t="s">
        <v>368</v>
      </c>
      <c r="D107" s="72"/>
      <c r="E107" s="56"/>
      <c r="F107" s="56"/>
      <c r="G107" s="56"/>
      <c r="H107" s="56"/>
      <c r="I107" s="56"/>
      <c r="J107" s="56"/>
      <c r="K107" s="56"/>
      <c r="L107" s="40">
        <f>SUM(F107-G107+H107-I107+J107)</f>
        <v>0</v>
      </c>
      <c r="M107" s="56"/>
      <c r="N107" s="56">
        <v>6255</v>
      </c>
      <c r="O107" s="56"/>
      <c r="P107" s="56"/>
      <c r="Q107" s="56"/>
      <c r="R107" s="40">
        <f t="shared" si="94"/>
        <v>6255</v>
      </c>
      <c r="S107" s="56"/>
      <c r="T107" s="56"/>
      <c r="U107" s="56"/>
      <c r="V107" s="56"/>
      <c r="W107" s="56"/>
      <c r="X107" s="40">
        <f t="shared" si="95"/>
        <v>6255</v>
      </c>
      <c r="Y107" s="56"/>
      <c r="Z107" s="56"/>
      <c r="AA107" s="56"/>
      <c r="AB107" s="56"/>
      <c r="AC107" s="56"/>
      <c r="AD107" s="40">
        <f t="shared" si="96"/>
        <v>6255</v>
      </c>
      <c r="AE107" s="56"/>
      <c r="AF107" s="56">
        <v>2085</v>
      </c>
      <c r="AG107" s="56"/>
      <c r="AH107" s="56"/>
      <c r="AI107" s="56"/>
      <c r="AJ107" s="40">
        <f t="shared" si="97"/>
        <v>8340</v>
      </c>
      <c r="AK107" s="56"/>
      <c r="AL107" s="56">
        <v>4170</v>
      </c>
      <c r="AM107" s="56"/>
      <c r="AN107" s="56"/>
      <c r="AO107" s="56"/>
      <c r="AP107" s="40">
        <f t="shared" si="98"/>
        <v>12510</v>
      </c>
      <c r="AQ107" s="56"/>
      <c r="AR107" s="56">
        <v>3055</v>
      </c>
      <c r="AS107" s="56"/>
      <c r="AT107" s="56"/>
      <c r="AU107" s="56"/>
      <c r="AV107" s="40">
        <f t="shared" si="99"/>
        <v>15565</v>
      </c>
      <c r="AW107" s="56"/>
      <c r="AX107" s="56">
        <v>0</v>
      </c>
      <c r="AY107" s="56"/>
      <c r="AZ107" s="56"/>
      <c r="BA107" s="56"/>
      <c r="BB107" s="40">
        <f t="shared" si="100"/>
        <v>15565</v>
      </c>
      <c r="BC107" s="56"/>
      <c r="BD107" s="56"/>
      <c r="BE107" s="56"/>
      <c r="BF107" s="56"/>
      <c r="BG107" s="56"/>
      <c r="BH107" s="40">
        <f t="shared" si="101"/>
        <v>15565</v>
      </c>
      <c r="BI107" s="56"/>
      <c r="BJ107" s="56"/>
      <c r="BK107" s="56"/>
      <c r="BL107" s="56"/>
      <c r="BM107" s="56"/>
      <c r="BN107" s="40">
        <f t="shared" si="102"/>
        <v>15565</v>
      </c>
      <c r="BO107" s="56"/>
      <c r="BP107" s="56"/>
      <c r="BQ107" s="56"/>
      <c r="BR107" s="56"/>
      <c r="BS107" s="56"/>
      <c r="BT107" s="40">
        <f t="shared" si="103"/>
        <v>15565</v>
      </c>
      <c r="BU107" s="56"/>
      <c r="BV107" s="56"/>
      <c r="BW107" s="56"/>
      <c r="BX107" s="56"/>
      <c r="BY107" s="56"/>
      <c r="BZ107" s="40">
        <f t="shared" si="104"/>
        <v>15565</v>
      </c>
      <c r="CA107" s="56"/>
      <c r="CB107" s="56"/>
      <c r="CC107" s="56"/>
      <c r="CD107" s="40">
        <f t="shared" si="105"/>
        <v>15565</v>
      </c>
    </row>
    <row r="108" spans="1:82" ht="15.75">
      <c r="A108" s="71"/>
      <c r="B108" s="72"/>
      <c r="C108" s="72" t="s">
        <v>369</v>
      </c>
      <c r="D108" s="72"/>
      <c r="E108" s="56"/>
      <c r="F108" s="56"/>
      <c r="G108" s="56"/>
      <c r="H108" s="56"/>
      <c r="I108" s="56"/>
      <c r="J108" s="56"/>
      <c r="K108" s="56"/>
      <c r="L108" s="40">
        <f>SUM(F108-G108+H108-I108+J108)</f>
        <v>0</v>
      </c>
      <c r="M108" s="56"/>
      <c r="N108" s="56">
        <v>0</v>
      </c>
      <c r="O108" s="56"/>
      <c r="P108" s="56"/>
      <c r="Q108" s="56"/>
      <c r="R108" s="40">
        <f t="shared" si="94"/>
        <v>0</v>
      </c>
      <c r="S108" s="56"/>
      <c r="T108" s="56"/>
      <c r="U108" s="56"/>
      <c r="V108" s="56"/>
      <c r="W108" s="56"/>
      <c r="X108" s="40">
        <f t="shared" si="95"/>
        <v>0</v>
      </c>
      <c r="Y108" s="56"/>
      <c r="Z108" s="56"/>
      <c r="AA108" s="56"/>
      <c r="AB108" s="56"/>
      <c r="AC108" s="56"/>
      <c r="AD108" s="40">
        <f t="shared" si="96"/>
        <v>0</v>
      </c>
      <c r="AE108" s="56"/>
      <c r="AF108" s="206"/>
      <c r="AG108" s="56"/>
      <c r="AH108" s="56"/>
      <c r="AI108" s="56"/>
      <c r="AJ108" s="40">
        <f t="shared" si="97"/>
        <v>0</v>
      </c>
      <c r="AK108" s="56"/>
      <c r="AL108" s="56"/>
      <c r="AM108" s="56"/>
      <c r="AN108" s="56"/>
      <c r="AO108" s="56"/>
      <c r="AP108" s="40">
        <f t="shared" si="98"/>
        <v>0</v>
      </c>
      <c r="AQ108" s="56"/>
      <c r="AR108" s="56"/>
      <c r="AS108" s="56"/>
      <c r="AT108" s="56"/>
      <c r="AU108" s="56"/>
      <c r="AV108" s="40">
        <f t="shared" si="99"/>
        <v>0</v>
      </c>
      <c r="AW108" s="56"/>
      <c r="AX108" s="56">
        <v>0</v>
      </c>
      <c r="AY108" s="56"/>
      <c r="AZ108" s="56"/>
      <c r="BA108" s="56"/>
      <c r="BB108" s="40">
        <f t="shared" si="100"/>
        <v>0</v>
      </c>
      <c r="BC108" s="56"/>
      <c r="BD108" s="56"/>
      <c r="BE108" s="56"/>
      <c r="BF108" s="56"/>
      <c r="BG108" s="56"/>
      <c r="BH108" s="56">
        <f t="shared" si="101"/>
        <v>0</v>
      </c>
      <c r="BI108" s="56"/>
      <c r="BJ108" s="56"/>
      <c r="BK108" s="56"/>
      <c r="BL108" s="56"/>
      <c r="BM108" s="56"/>
      <c r="BN108" s="56">
        <f t="shared" si="102"/>
        <v>0</v>
      </c>
      <c r="BO108" s="56"/>
      <c r="BP108" s="56"/>
      <c r="BQ108" s="56"/>
      <c r="BR108" s="56"/>
      <c r="BS108" s="56"/>
      <c r="BT108" s="56">
        <f>SUM(BN108-BO108+BP108-BQ108+BR108)</f>
        <v>0</v>
      </c>
      <c r="BU108" s="56"/>
      <c r="BV108" s="56"/>
      <c r="BW108" s="56"/>
      <c r="BX108" s="56"/>
      <c r="BY108" s="56"/>
      <c r="BZ108" s="56">
        <f t="shared" si="104"/>
        <v>0</v>
      </c>
      <c r="CA108" s="56"/>
      <c r="CB108" s="56"/>
      <c r="CC108" s="56"/>
      <c r="CD108" s="56">
        <f t="shared" si="105"/>
        <v>0</v>
      </c>
    </row>
    <row r="109" spans="1:82" ht="15.75">
      <c r="A109" s="71"/>
      <c r="B109" s="72"/>
      <c r="C109" s="72" t="s">
        <v>456</v>
      </c>
      <c r="D109" s="72"/>
      <c r="E109" s="56"/>
      <c r="F109" s="56"/>
      <c r="G109" s="56"/>
      <c r="H109" s="56"/>
      <c r="I109" s="56"/>
      <c r="J109" s="56"/>
      <c r="K109" s="56"/>
      <c r="L109" s="40"/>
      <c r="M109" s="56"/>
      <c r="N109" s="56">
        <v>148750</v>
      </c>
      <c r="O109" s="56"/>
      <c r="P109" s="56"/>
      <c r="Q109" s="56"/>
      <c r="R109" s="40">
        <f t="shared" si="94"/>
        <v>148750</v>
      </c>
      <c r="S109" s="56"/>
      <c r="T109" s="56"/>
      <c r="U109" s="56"/>
      <c r="V109" s="56"/>
      <c r="W109" s="56"/>
      <c r="X109" s="40">
        <f t="shared" si="95"/>
        <v>148750</v>
      </c>
      <c r="Y109" s="56"/>
      <c r="Z109" s="56"/>
      <c r="AA109" s="56"/>
      <c r="AB109" s="56"/>
      <c r="AC109" s="56"/>
      <c r="AD109" s="40">
        <f t="shared" si="96"/>
        <v>148750</v>
      </c>
      <c r="AE109" s="56"/>
      <c r="AF109" s="206"/>
      <c r="AG109" s="56"/>
      <c r="AH109" s="56"/>
      <c r="AI109" s="56"/>
      <c r="AJ109" s="40">
        <f t="shared" si="97"/>
        <v>148750</v>
      </c>
      <c r="AK109" s="56"/>
      <c r="AL109" s="56"/>
      <c r="AM109" s="56"/>
      <c r="AN109" s="56"/>
      <c r="AO109" s="56"/>
      <c r="AP109" s="40">
        <f t="shared" si="98"/>
        <v>148750</v>
      </c>
      <c r="AQ109" s="56"/>
      <c r="AR109" s="56">
        <v>148750</v>
      </c>
      <c r="AS109" s="56"/>
      <c r="AT109" s="56"/>
      <c r="AU109" s="56"/>
      <c r="AV109" s="40">
        <f t="shared" si="99"/>
        <v>297500</v>
      </c>
      <c r="AW109" s="56"/>
      <c r="AX109" s="56">
        <v>0</v>
      </c>
      <c r="AY109" s="56"/>
      <c r="AZ109" s="56"/>
      <c r="BA109" s="56"/>
      <c r="BB109" s="40">
        <f t="shared" si="100"/>
        <v>297500</v>
      </c>
      <c r="BC109" s="56"/>
      <c r="BD109" s="56"/>
      <c r="BE109" s="56"/>
      <c r="BF109" s="56"/>
      <c r="BG109" s="56"/>
      <c r="BH109" s="56">
        <f t="shared" si="101"/>
        <v>297500</v>
      </c>
      <c r="BI109" s="56"/>
      <c r="BJ109" s="56"/>
      <c r="BK109" s="56"/>
      <c r="BL109" s="56"/>
      <c r="BM109" s="56"/>
      <c r="BN109" s="56">
        <f t="shared" si="102"/>
        <v>297500</v>
      </c>
      <c r="BO109" s="56"/>
      <c r="BP109" s="56"/>
      <c r="BQ109" s="56"/>
      <c r="BR109" s="56"/>
      <c r="BS109" s="56"/>
      <c r="BT109" s="56">
        <f>SUM(BN109-BO109+BP109-BQ109+BR109)</f>
        <v>297500</v>
      </c>
      <c r="BU109" s="56"/>
      <c r="BV109" s="56"/>
      <c r="BW109" s="56"/>
      <c r="BX109" s="56"/>
      <c r="BY109" s="56"/>
      <c r="BZ109" s="56">
        <f t="shared" si="104"/>
        <v>297500</v>
      </c>
      <c r="CA109" s="56"/>
      <c r="CB109" s="56"/>
      <c r="CC109" s="56"/>
      <c r="CD109" s="56">
        <f t="shared" si="105"/>
        <v>297500</v>
      </c>
    </row>
    <row r="110" spans="1:82" ht="15.75">
      <c r="A110" s="71"/>
      <c r="B110" s="72"/>
      <c r="C110" s="72" t="s">
        <v>485</v>
      </c>
      <c r="D110" s="72"/>
      <c r="E110" s="56"/>
      <c r="F110" s="56"/>
      <c r="G110" s="56"/>
      <c r="H110" s="56"/>
      <c r="I110" s="56"/>
      <c r="J110" s="56"/>
      <c r="K110" s="56"/>
      <c r="L110" s="40">
        <f>SUM(F110-G110+H110-I110+J110)</f>
        <v>0</v>
      </c>
      <c r="M110" s="56"/>
      <c r="N110" s="56">
        <v>1118881</v>
      </c>
      <c r="O110" s="56"/>
      <c r="P110" s="56"/>
      <c r="Q110" s="56"/>
      <c r="R110" s="40">
        <f t="shared" si="94"/>
        <v>1118881</v>
      </c>
      <c r="S110" s="56"/>
      <c r="T110" s="56"/>
      <c r="U110" s="56"/>
      <c r="V110" s="56"/>
      <c r="W110" s="56"/>
      <c r="X110" s="40">
        <f t="shared" si="95"/>
        <v>1118881</v>
      </c>
      <c r="Y110" s="56"/>
      <c r="Z110" s="56"/>
      <c r="AA110" s="56"/>
      <c r="AB110" s="56"/>
      <c r="AC110" s="56"/>
      <c r="AD110" s="40">
        <f t="shared" si="96"/>
        <v>1118881</v>
      </c>
      <c r="AE110" s="56"/>
      <c r="AF110" s="206"/>
      <c r="AG110" s="56"/>
      <c r="AH110" s="56"/>
      <c r="AI110" s="56"/>
      <c r="AJ110" s="40">
        <f t="shared" si="97"/>
        <v>1118881</v>
      </c>
      <c r="AK110" s="56"/>
      <c r="AL110" s="56"/>
      <c r="AM110" s="56"/>
      <c r="AN110" s="56"/>
      <c r="AO110" s="56"/>
      <c r="AP110" s="40">
        <f t="shared" si="98"/>
        <v>1118881</v>
      </c>
      <c r="AQ110" s="56"/>
      <c r="AR110" s="56"/>
      <c r="AS110" s="56"/>
      <c r="AT110" s="56"/>
      <c r="AU110" s="56"/>
      <c r="AV110" s="40">
        <f t="shared" si="99"/>
        <v>1118881</v>
      </c>
      <c r="AW110" s="56"/>
      <c r="AX110" s="56">
        <v>0</v>
      </c>
      <c r="AY110" s="56"/>
      <c r="AZ110" s="56"/>
      <c r="BA110" s="56"/>
      <c r="BB110" s="40">
        <f t="shared" si="100"/>
        <v>1118881</v>
      </c>
      <c r="BC110" s="56"/>
      <c r="BD110" s="56"/>
      <c r="BE110" s="56"/>
      <c r="BF110" s="56"/>
      <c r="BG110" s="56"/>
      <c r="BH110" s="56">
        <f t="shared" si="101"/>
        <v>1118881</v>
      </c>
      <c r="BI110" s="56"/>
      <c r="BJ110" s="56"/>
      <c r="BK110" s="56"/>
      <c r="BL110" s="56"/>
      <c r="BM110" s="56"/>
      <c r="BN110" s="56">
        <f>SUM(BH110-BI110+BJ110-BK110+BL110)</f>
        <v>1118881</v>
      </c>
      <c r="BO110" s="56"/>
      <c r="BP110" s="56"/>
      <c r="BQ110" s="56"/>
      <c r="BR110" s="56"/>
      <c r="BS110" s="56"/>
      <c r="BT110" s="56">
        <f>SUM(BN110-BO110+BP110-BQ110+BR110)</f>
        <v>1118881</v>
      </c>
      <c r="BU110" s="56"/>
      <c r="BV110" s="56"/>
      <c r="BW110" s="56"/>
      <c r="BX110" s="56"/>
      <c r="BY110" s="56"/>
      <c r="BZ110" s="56">
        <f t="shared" si="104"/>
        <v>1118881</v>
      </c>
      <c r="CA110" s="56"/>
      <c r="CB110" s="56"/>
      <c r="CC110" s="56"/>
      <c r="CD110" s="56">
        <f t="shared" si="105"/>
        <v>1118881</v>
      </c>
    </row>
    <row r="111" spans="1:82" ht="15.75">
      <c r="A111" s="71"/>
      <c r="B111" s="72"/>
      <c r="C111" s="72" t="s">
        <v>547</v>
      </c>
      <c r="D111" s="72"/>
      <c r="E111" s="56"/>
      <c r="F111" s="56"/>
      <c r="G111" s="56"/>
      <c r="H111" s="56"/>
      <c r="I111" s="56"/>
      <c r="J111" s="56"/>
      <c r="K111" s="56"/>
      <c r="L111" s="40">
        <f>SUM(F111-G111+H111-I111+J111)</f>
        <v>0</v>
      </c>
      <c r="M111" s="56"/>
      <c r="N111" s="56"/>
      <c r="O111" s="56"/>
      <c r="P111" s="56"/>
      <c r="Q111" s="56"/>
      <c r="R111" s="40">
        <f t="shared" si="94"/>
        <v>0</v>
      </c>
      <c r="S111" s="56"/>
      <c r="T111" s="56"/>
      <c r="U111" s="56"/>
      <c r="V111" s="56"/>
      <c r="W111" s="56"/>
      <c r="X111" s="56">
        <f t="shared" si="95"/>
        <v>0</v>
      </c>
      <c r="Y111" s="56"/>
      <c r="Z111" s="56"/>
      <c r="AA111" s="56"/>
      <c r="AB111" s="56"/>
      <c r="AC111" s="56"/>
      <c r="AD111" s="56">
        <f t="shared" si="96"/>
        <v>0</v>
      </c>
      <c r="AE111" s="56"/>
      <c r="AF111" s="56">
        <v>70000</v>
      </c>
      <c r="AG111" s="56"/>
      <c r="AH111" s="56"/>
      <c r="AI111" s="56"/>
      <c r="AJ111" s="56">
        <f t="shared" si="97"/>
        <v>70000</v>
      </c>
      <c r="AK111" s="56"/>
      <c r="AL111" s="56">
        <v>50000</v>
      </c>
      <c r="AM111" s="56"/>
      <c r="AN111" s="56"/>
      <c r="AO111" s="56"/>
      <c r="AP111" s="56">
        <f t="shared" si="98"/>
        <v>120000</v>
      </c>
      <c r="AQ111" s="56"/>
      <c r="AR111" s="56"/>
      <c r="AS111" s="56"/>
      <c r="AT111" s="56"/>
      <c r="AU111" s="56"/>
      <c r="AV111" s="56">
        <f t="shared" si="99"/>
        <v>120000</v>
      </c>
      <c r="AW111" s="56"/>
      <c r="AX111" s="56">
        <v>0</v>
      </c>
      <c r="AY111" s="56"/>
      <c r="AZ111" s="56"/>
      <c r="BA111" s="56"/>
      <c r="BB111" s="56">
        <f t="shared" si="100"/>
        <v>120000</v>
      </c>
      <c r="BC111" s="56"/>
      <c r="BD111" s="56"/>
      <c r="BE111" s="56"/>
      <c r="BF111" s="56"/>
      <c r="BG111" s="56"/>
      <c r="BH111" s="56">
        <f t="shared" si="101"/>
        <v>120000</v>
      </c>
      <c r="BI111" s="56"/>
      <c r="BJ111" s="56"/>
      <c r="BK111" s="56"/>
      <c r="BL111" s="56"/>
      <c r="BM111" s="56"/>
      <c r="BN111" s="56">
        <f>SUM(BH111-BI111+BJ111-BK111+BL111)</f>
        <v>120000</v>
      </c>
      <c r="BO111" s="56"/>
      <c r="BP111" s="56"/>
      <c r="BQ111" s="56"/>
      <c r="BR111" s="56"/>
      <c r="BS111" s="56"/>
      <c r="BT111" s="56">
        <f>SUM(BN111-BO111+BP111-BQ111+BR111)</f>
        <v>120000</v>
      </c>
      <c r="BU111" s="56"/>
      <c r="BV111" s="56"/>
      <c r="BW111" s="56"/>
      <c r="BX111" s="56"/>
      <c r="BY111" s="56"/>
      <c r="BZ111" s="56">
        <f t="shared" si="104"/>
        <v>120000</v>
      </c>
      <c r="CA111" s="56"/>
      <c r="CB111" s="56"/>
      <c r="CC111" s="56"/>
      <c r="CD111" s="56">
        <f t="shared" si="105"/>
        <v>120000</v>
      </c>
    </row>
    <row r="112" spans="1:84" s="72" customFormat="1" ht="15.75">
      <c r="A112" s="71"/>
      <c r="E112" s="56"/>
      <c r="F112" s="56"/>
      <c r="G112" s="56"/>
      <c r="H112" s="56"/>
      <c r="I112" s="56"/>
      <c r="J112" s="56"/>
      <c r="K112" s="56"/>
      <c r="L112" s="56">
        <f>SUM(F112-G112+H112-I112+J112)</f>
        <v>0</v>
      </c>
      <c r="M112" s="56"/>
      <c r="N112" s="56"/>
      <c r="O112" s="56"/>
      <c r="P112" s="56"/>
      <c r="Q112" s="56"/>
      <c r="R112" s="56">
        <f t="shared" si="94"/>
        <v>0</v>
      </c>
      <c r="S112" s="56"/>
      <c r="T112" s="56"/>
      <c r="U112" s="56"/>
      <c r="V112" s="56"/>
      <c r="W112" s="56"/>
      <c r="X112" s="56">
        <f t="shared" si="95"/>
        <v>0</v>
      </c>
      <c r="Y112" s="56"/>
      <c r="Z112" s="56"/>
      <c r="AA112" s="56"/>
      <c r="AB112" s="56"/>
      <c r="AC112" s="56"/>
      <c r="AD112" s="56"/>
      <c r="AE112" s="56"/>
      <c r="AF112" s="20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>
        <f t="shared" si="104"/>
        <v>0</v>
      </c>
      <c r="CA112" s="56"/>
      <c r="CB112" s="56"/>
      <c r="CC112" s="56"/>
      <c r="CD112" s="56">
        <f t="shared" si="105"/>
        <v>0</v>
      </c>
      <c r="CE112" s="144"/>
      <c r="CF112" s="144"/>
    </row>
    <row r="113" spans="1:84" s="39" customFormat="1" ht="15.75">
      <c r="A113" s="38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203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314"/>
      <c r="CF113" s="314"/>
    </row>
    <row r="114" spans="1:84" s="72" customFormat="1" ht="15.75">
      <c r="A114" s="41"/>
      <c r="B114" s="42"/>
      <c r="C114" s="42"/>
      <c r="D114" s="42"/>
      <c r="E114" s="43"/>
      <c r="F114" s="43"/>
      <c r="G114" s="43"/>
      <c r="H114" s="43"/>
      <c r="I114" s="43"/>
      <c r="J114" s="43"/>
      <c r="K114" s="43"/>
      <c r="L114" s="56"/>
      <c r="M114" s="43"/>
      <c r="N114" s="43"/>
      <c r="O114" s="43"/>
      <c r="P114" s="43"/>
      <c r="Q114" s="43"/>
      <c r="R114" s="56"/>
      <c r="S114" s="43"/>
      <c r="T114" s="43"/>
      <c r="U114" s="43"/>
      <c r="V114" s="43"/>
      <c r="W114" s="43"/>
      <c r="X114" s="56"/>
      <c r="Y114" s="43"/>
      <c r="Z114" s="43"/>
      <c r="AA114" s="43"/>
      <c r="AB114" s="43"/>
      <c r="AC114" s="43"/>
      <c r="AD114" s="56"/>
      <c r="AE114" s="43"/>
      <c r="AF114" s="204"/>
      <c r="AG114" s="43"/>
      <c r="AH114" s="43"/>
      <c r="AI114" s="43"/>
      <c r="AJ114" s="56"/>
      <c r="AK114" s="43"/>
      <c r="AL114" s="43"/>
      <c r="AM114" s="43"/>
      <c r="AN114" s="43"/>
      <c r="AO114" s="43"/>
      <c r="AP114" s="56"/>
      <c r="AQ114" s="43"/>
      <c r="AR114" s="43"/>
      <c r="AS114" s="43"/>
      <c r="AT114" s="43"/>
      <c r="AU114" s="43"/>
      <c r="AV114" s="56"/>
      <c r="AW114" s="43"/>
      <c r="AX114" s="43"/>
      <c r="AY114" s="43"/>
      <c r="AZ114" s="43"/>
      <c r="BA114" s="43"/>
      <c r="BB114" s="56"/>
      <c r="BC114" s="43"/>
      <c r="BD114" s="43"/>
      <c r="BE114" s="43"/>
      <c r="BF114" s="43"/>
      <c r="BG114" s="43"/>
      <c r="BH114" s="56"/>
      <c r="BI114" s="43"/>
      <c r="BJ114" s="43"/>
      <c r="BK114" s="43"/>
      <c r="BL114" s="43"/>
      <c r="BM114" s="43"/>
      <c r="BN114" s="56"/>
      <c r="BO114" s="43"/>
      <c r="BP114" s="43"/>
      <c r="BQ114" s="43"/>
      <c r="BR114" s="43"/>
      <c r="BS114" s="43"/>
      <c r="BT114" s="56"/>
      <c r="BU114" s="43"/>
      <c r="BV114" s="43"/>
      <c r="BW114" s="43"/>
      <c r="BX114" s="43"/>
      <c r="BY114" s="43"/>
      <c r="BZ114" s="56"/>
      <c r="CA114" s="43"/>
      <c r="CB114" s="43"/>
      <c r="CC114" s="43"/>
      <c r="CD114" s="56"/>
      <c r="CE114" s="144"/>
      <c r="CF114" s="144"/>
    </row>
    <row r="115" spans="1:84" s="170" customFormat="1" ht="15.75">
      <c r="A115" s="439" t="s">
        <v>32</v>
      </c>
      <c r="B115" s="440"/>
      <c r="C115" s="440"/>
      <c r="D115" s="440"/>
      <c r="E115" s="165">
        <f>SUM(E52,E83,E94)</f>
        <v>0</v>
      </c>
      <c r="F115" s="165">
        <f aca="true" t="shared" si="106" ref="F115:BQ115">SUM(F52,F83,F94)</f>
        <v>0</v>
      </c>
      <c r="G115" s="165">
        <f t="shared" si="106"/>
        <v>0</v>
      </c>
      <c r="H115" s="165">
        <f t="shared" si="106"/>
        <v>1651932.43</v>
      </c>
      <c r="I115" s="165">
        <f t="shared" si="106"/>
        <v>0</v>
      </c>
      <c r="J115" s="165">
        <f t="shared" si="106"/>
        <v>0</v>
      </c>
      <c r="K115" s="165">
        <f t="shared" si="106"/>
        <v>0</v>
      </c>
      <c r="L115" s="165">
        <f>SUM(L52,L83,L94)</f>
        <v>1651932.43</v>
      </c>
      <c r="M115" s="165">
        <f t="shared" si="106"/>
        <v>0</v>
      </c>
      <c r="N115" s="165">
        <f t="shared" si="106"/>
        <v>7727776.51</v>
      </c>
      <c r="O115" s="165">
        <f t="shared" si="106"/>
        <v>0</v>
      </c>
      <c r="P115" s="165">
        <f t="shared" si="106"/>
        <v>0</v>
      </c>
      <c r="Q115" s="165">
        <f t="shared" si="106"/>
        <v>0</v>
      </c>
      <c r="R115" s="165">
        <f>SUM(R52,R83,R94)</f>
        <v>9379708.94</v>
      </c>
      <c r="S115" s="165">
        <f t="shared" si="106"/>
        <v>0</v>
      </c>
      <c r="T115" s="165">
        <f>SUM(T52,T83,T94)</f>
        <v>8774293.25</v>
      </c>
      <c r="U115" s="165">
        <f t="shared" si="106"/>
        <v>0</v>
      </c>
      <c r="V115" s="165">
        <f t="shared" si="106"/>
        <v>0</v>
      </c>
      <c r="W115" s="165">
        <f t="shared" si="106"/>
        <v>0</v>
      </c>
      <c r="X115" s="165">
        <f t="shared" si="106"/>
        <v>18154002.19</v>
      </c>
      <c r="Y115" s="165">
        <f>SUM(Y52,Y83,Y94)</f>
        <v>0</v>
      </c>
      <c r="Z115" s="165">
        <f>SUM(Z52,Z83,Z94)</f>
        <v>4248458.76</v>
      </c>
      <c r="AA115" s="165">
        <f t="shared" si="106"/>
        <v>0</v>
      </c>
      <c r="AB115" s="165">
        <f t="shared" si="106"/>
        <v>0</v>
      </c>
      <c r="AC115" s="165">
        <f t="shared" si="106"/>
        <v>0</v>
      </c>
      <c r="AD115" s="165">
        <f t="shared" si="106"/>
        <v>22402460.950000003</v>
      </c>
      <c r="AE115" s="165">
        <f t="shared" si="106"/>
        <v>0</v>
      </c>
      <c r="AF115" s="165">
        <f>SUM(AF52,AF83,AF94)</f>
        <v>1942195.54</v>
      </c>
      <c r="AG115" s="165">
        <f t="shared" si="106"/>
        <v>0</v>
      </c>
      <c r="AH115" s="165">
        <f t="shared" si="106"/>
        <v>0</v>
      </c>
      <c r="AI115" s="165">
        <f t="shared" si="106"/>
        <v>0</v>
      </c>
      <c r="AJ115" s="165">
        <f>SUM(AJ52,AJ83,AJ94)</f>
        <v>24344656.490000002</v>
      </c>
      <c r="AK115" s="165">
        <f>SUM(AK52,AK83,AK94)</f>
        <v>0</v>
      </c>
      <c r="AL115" s="165">
        <f>SUM(AL52,AL83,AL94)</f>
        <v>11614756.59</v>
      </c>
      <c r="AM115" s="166">
        <f t="shared" si="106"/>
        <v>0</v>
      </c>
      <c r="AN115" s="166">
        <f>SUM(AN52,AN83,AN94)</f>
        <v>10.8</v>
      </c>
      <c r="AO115" s="165">
        <f t="shared" si="106"/>
        <v>0</v>
      </c>
      <c r="AP115" s="165">
        <f t="shared" si="106"/>
        <v>35959423.879999995</v>
      </c>
      <c r="AQ115" s="165">
        <f t="shared" si="106"/>
        <v>0</v>
      </c>
      <c r="AR115" s="165">
        <f t="shared" si="106"/>
        <v>3840893.5</v>
      </c>
      <c r="AS115" s="165">
        <f t="shared" si="106"/>
        <v>0</v>
      </c>
      <c r="AT115" s="165">
        <f t="shared" si="106"/>
        <v>0</v>
      </c>
      <c r="AU115" s="165">
        <f t="shared" si="106"/>
        <v>0</v>
      </c>
      <c r="AV115" s="165">
        <f t="shared" si="106"/>
        <v>39800317.38</v>
      </c>
      <c r="AW115" s="165">
        <f t="shared" si="106"/>
        <v>0</v>
      </c>
      <c r="AX115" s="165">
        <f>SUM(AX52,AX83,AX94)</f>
        <v>3104410.61</v>
      </c>
      <c r="AY115" s="165">
        <f t="shared" si="106"/>
        <v>0</v>
      </c>
      <c r="AZ115" s="165">
        <f t="shared" si="106"/>
        <v>0</v>
      </c>
      <c r="BA115" s="165">
        <f t="shared" si="106"/>
        <v>0</v>
      </c>
      <c r="BB115" s="165">
        <f t="shared" si="106"/>
        <v>42904727.99</v>
      </c>
      <c r="BC115" s="165">
        <f t="shared" si="106"/>
        <v>0</v>
      </c>
      <c r="BD115" s="165">
        <f t="shared" si="106"/>
        <v>0</v>
      </c>
      <c r="BE115" s="165">
        <f t="shared" si="106"/>
        <v>0</v>
      </c>
      <c r="BF115" s="165">
        <f t="shared" si="106"/>
        <v>0</v>
      </c>
      <c r="BG115" s="165">
        <f t="shared" si="106"/>
        <v>0</v>
      </c>
      <c r="BH115" s="165">
        <f>SUM(BH52,BH83,BH94)</f>
        <v>40924727.99</v>
      </c>
      <c r="BI115" s="165">
        <f t="shared" si="106"/>
        <v>0</v>
      </c>
      <c r="BJ115" s="165">
        <f>SUM(BJ52,BJ83,BJ94)</f>
        <v>0</v>
      </c>
      <c r="BK115" s="165">
        <f t="shared" si="106"/>
        <v>0</v>
      </c>
      <c r="BL115" s="165">
        <f t="shared" si="106"/>
        <v>0</v>
      </c>
      <c r="BM115" s="165">
        <f>SUM(BM52,BM83,BM94)</f>
        <v>0</v>
      </c>
      <c r="BN115" s="165">
        <f>SUM(BN52,BN83,BN94)</f>
        <v>40924727.99</v>
      </c>
      <c r="BO115" s="165">
        <f t="shared" si="106"/>
        <v>0</v>
      </c>
      <c r="BP115" s="165">
        <f>SUM(BP52,BP83,BP94)</f>
        <v>0</v>
      </c>
      <c r="BQ115" s="165">
        <f t="shared" si="106"/>
        <v>0</v>
      </c>
      <c r="BR115" s="165">
        <f>SUM(BR52,BR83,BR94)</f>
        <v>0</v>
      </c>
      <c r="BS115" s="165">
        <f>SUM(BS52,BS83,BS94)</f>
        <v>0</v>
      </c>
      <c r="BT115" s="165">
        <f>SUM(BT52,BT83,BT94)</f>
        <v>40924727.99</v>
      </c>
      <c r="BU115" s="165">
        <f>SUM(BU52,BU83,BU94)</f>
        <v>0</v>
      </c>
      <c r="BV115" s="165">
        <f aca="true" t="shared" si="107" ref="BV115:CB115">SUM(BV52,BV83,BV94)</f>
        <v>0</v>
      </c>
      <c r="BW115" s="165">
        <f t="shared" si="107"/>
        <v>0</v>
      </c>
      <c r="BX115" s="165">
        <f t="shared" si="107"/>
        <v>0</v>
      </c>
      <c r="BY115" s="165">
        <f t="shared" si="107"/>
        <v>0</v>
      </c>
      <c r="BZ115" s="165">
        <f t="shared" si="107"/>
        <v>40924727.99</v>
      </c>
      <c r="CA115" s="166">
        <f t="shared" si="107"/>
        <v>0</v>
      </c>
      <c r="CB115" s="166">
        <f t="shared" si="107"/>
        <v>0</v>
      </c>
      <c r="CC115" s="165">
        <f>SUM(CC52,CC83,CC94)</f>
        <v>0</v>
      </c>
      <c r="CD115" s="165">
        <f>SUM(CD52,CD83,CD94)</f>
        <v>40924727.99</v>
      </c>
      <c r="CE115" s="169">
        <f>2134680.73-BJ115</f>
        <v>2134680.73</v>
      </c>
      <c r="CF115" s="169"/>
    </row>
    <row r="116" spans="1:82" ht="18.75">
      <c r="A116" s="445" t="s">
        <v>322</v>
      </c>
      <c r="B116" s="446"/>
      <c r="C116" s="446"/>
      <c r="D116" s="447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20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</row>
    <row r="117" spans="1:84" s="422" customFormat="1" ht="15.75">
      <c r="A117" s="419" t="s">
        <v>162</v>
      </c>
      <c r="B117" s="420"/>
      <c r="C117" s="420"/>
      <c r="D117" s="420"/>
      <c r="E117" s="368">
        <f>SUM(E118,E127:E141)</f>
        <v>0</v>
      </c>
      <c r="F117" s="368">
        <f aca="true" t="shared" si="108" ref="F117:BQ117">SUM(F118,F127:F141)</f>
        <v>0</v>
      </c>
      <c r="G117" s="368">
        <f t="shared" si="108"/>
        <v>806919.15</v>
      </c>
      <c r="H117" s="368">
        <f>SUM(H118,H127:H141)</f>
        <v>0</v>
      </c>
      <c r="I117" s="368">
        <f t="shared" si="108"/>
        <v>5000</v>
      </c>
      <c r="J117" s="368">
        <f t="shared" si="108"/>
        <v>0</v>
      </c>
      <c r="K117" s="368">
        <f>SUM(K118,K127:K141)</f>
        <v>811919.15</v>
      </c>
      <c r="L117" s="368">
        <f t="shared" si="108"/>
        <v>0</v>
      </c>
      <c r="M117" s="368">
        <f>SUM(M118,M127:M141)</f>
        <v>2442586.5</v>
      </c>
      <c r="N117" s="368">
        <f t="shared" si="108"/>
        <v>0</v>
      </c>
      <c r="O117" s="368">
        <f t="shared" si="108"/>
        <v>10500</v>
      </c>
      <c r="P117" s="368">
        <f t="shared" si="108"/>
        <v>5000</v>
      </c>
      <c r="Q117" s="368">
        <f>SUM(Q118,Q127:Q141)</f>
        <v>3260005.6500000004</v>
      </c>
      <c r="R117" s="368">
        <f t="shared" si="108"/>
        <v>0</v>
      </c>
      <c r="S117" s="368">
        <f>SUM(S118,S127:S141)</f>
        <v>1410423.47</v>
      </c>
      <c r="T117" s="368">
        <f t="shared" si="108"/>
        <v>0</v>
      </c>
      <c r="U117" s="368">
        <f t="shared" si="108"/>
        <v>12100</v>
      </c>
      <c r="V117" s="368">
        <f t="shared" si="108"/>
        <v>0</v>
      </c>
      <c r="W117" s="368">
        <f>SUM(W118,W127:W141)</f>
        <v>4682529.12</v>
      </c>
      <c r="X117" s="368">
        <f t="shared" si="108"/>
        <v>0</v>
      </c>
      <c r="Y117" s="368">
        <f t="shared" si="108"/>
        <v>3118875.5300000003</v>
      </c>
      <c r="Z117" s="368">
        <f t="shared" si="108"/>
        <v>0</v>
      </c>
      <c r="AA117" s="368">
        <f t="shared" si="108"/>
        <v>7200</v>
      </c>
      <c r="AB117" s="368">
        <f t="shared" si="108"/>
        <v>0</v>
      </c>
      <c r="AC117" s="368">
        <f t="shared" si="108"/>
        <v>7808604.649999999</v>
      </c>
      <c r="AD117" s="368">
        <f t="shared" si="108"/>
        <v>0</v>
      </c>
      <c r="AE117" s="368">
        <f>SUM(AE118,AE127:AE141)</f>
        <v>1357654.5700000003</v>
      </c>
      <c r="AF117" s="368">
        <f t="shared" si="108"/>
        <v>0</v>
      </c>
      <c r="AG117" s="368">
        <f t="shared" si="108"/>
        <v>23200</v>
      </c>
      <c r="AH117" s="368">
        <f t="shared" si="108"/>
        <v>0</v>
      </c>
      <c r="AI117" s="368">
        <f t="shared" si="108"/>
        <v>9189459.220000003</v>
      </c>
      <c r="AJ117" s="368">
        <f t="shared" si="108"/>
        <v>0</v>
      </c>
      <c r="AK117" s="368">
        <f t="shared" si="108"/>
        <v>1812976.53</v>
      </c>
      <c r="AL117" s="368">
        <f t="shared" si="108"/>
        <v>0</v>
      </c>
      <c r="AM117" s="305">
        <f t="shared" si="108"/>
        <v>22248.65</v>
      </c>
      <c r="AN117" s="305">
        <f t="shared" si="108"/>
        <v>0</v>
      </c>
      <c r="AO117" s="368">
        <f t="shared" si="108"/>
        <v>11024684.4</v>
      </c>
      <c r="AP117" s="368">
        <f t="shared" si="108"/>
        <v>0</v>
      </c>
      <c r="AQ117" s="368">
        <f>SUM(AQ118,AQ127:AQ141)</f>
        <v>1526258.92</v>
      </c>
      <c r="AR117" s="368">
        <f t="shared" si="108"/>
        <v>0</v>
      </c>
      <c r="AS117" s="368">
        <f t="shared" si="108"/>
        <v>69740</v>
      </c>
      <c r="AT117" s="368">
        <f t="shared" si="108"/>
        <v>0</v>
      </c>
      <c r="AU117" s="368">
        <f>SUM(AU118,AU127:AU141)</f>
        <v>12620683.32</v>
      </c>
      <c r="AV117" s="368">
        <f>SUM(AV118,AV127:AV141)</f>
        <v>0</v>
      </c>
      <c r="AW117" s="368">
        <f t="shared" si="108"/>
        <v>2801724.11</v>
      </c>
      <c r="AX117" s="368">
        <f>SUM(AX118,AX127:AX141)</f>
        <v>105</v>
      </c>
      <c r="AY117" s="368">
        <f>SUM(AY118,AY127:AY141)</f>
        <v>0</v>
      </c>
      <c r="AZ117" s="368">
        <f t="shared" si="108"/>
        <v>0</v>
      </c>
      <c r="BA117" s="368">
        <f>SUM(BA118,BA127:BA141)</f>
        <v>15422302.43</v>
      </c>
      <c r="BB117" s="368">
        <f t="shared" si="108"/>
        <v>0</v>
      </c>
      <c r="BC117" s="368">
        <f t="shared" si="108"/>
        <v>0</v>
      </c>
      <c r="BD117" s="368">
        <f t="shared" si="108"/>
        <v>0</v>
      </c>
      <c r="BE117" s="368">
        <f t="shared" si="108"/>
        <v>0</v>
      </c>
      <c r="BF117" s="368">
        <f t="shared" si="108"/>
        <v>0</v>
      </c>
      <c r="BG117" s="368">
        <f>SUM(BG118,BG127:BG141)</f>
        <v>15422302.43</v>
      </c>
      <c r="BH117" s="368">
        <f>SUM(BH118,BH127:BH141)</f>
        <v>0</v>
      </c>
      <c r="BI117" s="368">
        <f>SUM(BI118,BI127:BI141)</f>
        <v>0</v>
      </c>
      <c r="BJ117" s="368">
        <f t="shared" si="108"/>
        <v>0</v>
      </c>
      <c r="BK117" s="368">
        <f t="shared" si="108"/>
        <v>0</v>
      </c>
      <c r="BL117" s="368">
        <f t="shared" si="108"/>
        <v>0</v>
      </c>
      <c r="BM117" s="368">
        <f t="shared" si="108"/>
        <v>15422302.43</v>
      </c>
      <c r="BN117" s="368">
        <f t="shared" si="108"/>
        <v>0</v>
      </c>
      <c r="BO117" s="368">
        <f t="shared" si="108"/>
        <v>0</v>
      </c>
      <c r="BP117" s="368">
        <f t="shared" si="108"/>
        <v>0</v>
      </c>
      <c r="BQ117" s="368">
        <f t="shared" si="108"/>
        <v>0</v>
      </c>
      <c r="BR117" s="368">
        <f aca="true" t="shared" si="109" ref="BR117:CD117">SUM(BR118,BR127:BR141)</f>
        <v>0</v>
      </c>
      <c r="BS117" s="368">
        <f t="shared" si="109"/>
        <v>15422302.43</v>
      </c>
      <c r="BT117" s="368">
        <f t="shared" si="109"/>
        <v>0</v>
      </c>
      <c r="BU117" s="368">
        <f t="shared" si="109"/>
        <v>0</v>
      </c>
      <c r="BV117" s="368">
        <f t="shared" si="109"/>
        <v>0</v>
      </c>
      <c r="BW117" s="368">
        <f t="shared" si="109"/>
        <v>0</v>
      </c>
      <c r="BX117" s="368">
        <f t="shared" si="109"/>
        <v>0</v>
      </c>
      <c r="BY117" s="368">
        <f>SUM(BY118,BY127:BY141)</f>
        <v>15422302.43</v>
      </c>
      <c r="BZ117" s="368">
        <f t="shared" si="109"/>
        <v>0</v>
      </c>
      <c r="CA117" s="305">
        <f>SUM(CA118,CA127:CA141)</f>
        <v>0</v>
      </c>
      <c r="CB117" s="305">
        <f>SUM(CB118,CB127:CB141)</f>
        <v>0</v>
      </c>
      <c r="CC117" s="368">
        <f t="shared" si="109"/>
        <v>15422302.43</v>
      </c>
      <c r="CD117" s="368">
        <f t="shared" si="109"/>
        <v>0</v>
      </c>
      <c r="CE117" s="421" t="s">
        <v>342</v>
      </c>
      <c r="CF117" s="421"/>
    </row>
    <row r="118" spans="1:84" s="168" customFormat="1" ht="15.75">
      <c r="A118" s="163" t="s">
        <v>11</v>
      </c>
      <c r="B118" s="164"/>
      <c r="C118" s="164"/>
      <c r="D118" s="164"/>
      <c r="E118" s="165">
        <f>SUM(E119:E126)</f>
        <v>0</v>
      </c>
      <c r="F118" s="165">
        <f aca="true" t="shared" si="110" ref="F118:BQ118">SUM(F119:F126)</f>
        <v>0</v>
      </c>
      <c r="G118" s="165">
        <f t="shared" si="110"/>
        <v>16514</v>
      </c>
      <c r="H118" s="165">
        <f>SUM(H119:H126)</f>
        <v>0</v>
      </c>
      <c r="I118" s="165">
        <f>SUM(I119:I126)</f>
        <v>0</v>
      </c>
      <c r="J118" s="165">
        <f>SUM(J119:J126)</f>
        <v>0</v>
      </c>
      <c r="K118" s="165">
        <f>SUM(K119:K126)</f>
        <v>16514</v>
      </c>
      <c r="L118" s="165">
        <f t="shared" si="110"/>
        <v>0</v>
      </c>
      <c r="M118" s="165">
        <f>SUM(M119:M126)</f>
        <v>16870</v>
      </c>
      <c r="N118" s="165">
        <f t="shared" si="110"/>
        <v>0</v>
      </c>
      <c r="O118" s="165">
        <f t="shared" si="110"/>
        <v>0</v>
      </c>
      <c r="P118" s="165">
        <f t="shared" si="110"/>
        <v>0</v>
      </c>
      <c r="Q118" s="165">
        <f>SUM(Q119:Q126)</f>
        <v>33384</v>
      </c>
      <c r="R118" s="165">
        <f t="shared" si="110"/>
        <v>0</v>
      </c>
      <c r="S118" s="165">
        <f>SUM(S119:S126)</f>
        <v>45107</v>
      </c>
      <c r="T118" s="165">
        <f t="shared" si="110"/>
        <v>0</v>
      </c>
      <c r="U118" s="165">
        <f t="shared" si="110"/>
        <v>0</v>
      </c>
      <c r="V118" s="165">
        <f t="shared" si="110"/>
        <v>0</v>
      </c>
      <c r="W118" s="165">
        <f>SUM(W119:W126)</f>
        <v>78491</v>
      </c>
      <c r="X118" s="165">
        <f t="shared" si="110"/>
        <v>0</v>
      </c>
      <c r="Y118" s="165">
        <f>SUM(Y119:Y126)</f>
        <v>119897</v>
      </c>
      <c r="Z118" s="165">
        <f>SUM(Z119:Z126)</f>
        <v>0</v>
      </c>
      <c r="AA118" s="165">
        <f>SUM(AA119:AA126)</f>
        <v>0</v>
      </c>
      <c r="AB118" s="165">
        <f>SUM(AB119:AB126)</f>
        <v>0</v>
      </c>
      <c r="AC118" s="165">
        <f>SUM(AC119:AC126)</f>
        <v>198388</v>
      </c>
      <c r="AD118" s="165">
        <f t="shared" si="110"/>
        <v>0</v>
      </c>
      <c r="AE118" s="165">
        <f>SUM(AE119:AE126)</f>
        <v>20099</v>
      </c>
      <c r="AF118" s="205">
        <f t="shared" si="110"/>
        <v>0</v>
      </c>
      <c r="AG118" s="165">
        <f t="shared" si="110"/>
        <v>0</v>
      </c>
      <c r="AH118" s="165">
        <f t="shared" si="110"/>
        <v>0</v>
      </c>
      <c r="AI118" s="165">
        <f t="shared" si="110"/>
        <v>218487</v>
      </c>
      <c r="AJ118" s="165">
        <f t="shared" si="110"/>
        <v>0</v>
      </c>
      <c r="AK118" s="165">
        <f>SUM(AK119:AK126)</f>
        <v>20671</v>
      </c>
      <c r="AL118" s="165">
        <f>SUM(AL119:AL126)</f>
        <v>0</v>
      </c>
      <c r="AM118" s="166">
        <f>SUM(AM119:AM126)</f>
        <v>0</v>
      </c>
      <c r="AN118" s="166">
        <f>SUM(AN119:AN126)</f>
        <v>0</v>
      </c>
      <c r="AO118" s="165">
        <f>SUM(AO119:AO126)</f>
        <v>239158</v>
      </c>
      <c r="AP118" s="165">
        <f t="shared" si="110"/>
        <v>0</v>
      </c>
      <c r="AQ118" s="165">
        <f>SUM(AQ119:AQ126)</f>
        <v>106066</v>
      </c>
      <c r="AR118" s="165">
        <f t="shared" si="110"/>
        <v>0</v>
      </c>
      <c r="AS118" s="165">
        <f t="shared" si="110"/>
        <v>0</v>
      </c>
      <c r="AT118" s="165">
        <f t="shared" si="110"/>
        <v>0</v>
      </c>
      <c r="AU118" s="165">
        <f>SUM(AU119:AU126)</f>
        <v>345224</v>
      </c>
      <c r="AV118" s="165">
        <f>SUM(AV119:AV126)</f>
        <v>0</v>
      </c>
      <c r="AW118" s="165">
        <f>SUM(AW119:AW126)</f>
        <v>496869.5</v>
      </c>
      <c r="AX118" s="165">
        <f>SUM(AX119:AX126)</f>
        <v>0</v>
      </c>
      <c r="AY118" s="165">
        <f>SUM(AY119:AY126)</f>
        <v>0</v>
      </c>
      <c r="AZ118" s="165">
        <f t="shared" si="110"/>
        <v>0</v>
      </c>
      <c r="BA118" s="165">
        <f>SUM(BA119:BA126)</f>
        <v>842093.5</v>
      </c>
      <c r="BB118" s="165">
        <f t="shared" si="110"/>
        <v>0</v>
      </c>
      <c r="BC118" s="165">
        <f t="shared" si="110"/>
        <v>0</v>
      </c>
      <c r="BD118" s="165">
        <f t="shared" si="110"/>
        <v>0</v>
      </c>
      <c r="BE118" s="165">
        <f t="shared" si="110"/>
        <v>0</v>
      </c>
      <c r="BF118" s="165">
        <f t="shared" si="110"/>
        <v>0</v>
      </c>
      <c r="BG118" s="165">
        <f>SUM(BG119:BG126)</f>
        <v>842093.5</v>
      </c>
      <c r="BH118" s="165">
        <f t="shared" si="110"/>
        <v>0</v>
      </c>
      <c r="BI118" s="165">
        <f t="shared" si="110"/>
        <v>0</v>
      </c>
      <c r="BJ118" s="165">
        <f t="shared" si="110"/>
        <v>0</v>
      </c>
      <c r="BK118" s="165">
        <f t="shared" si="110"/>
        <v>0</v>
      </c>
      <c r="BL118" s="165">
        <f t="shared" si="110"/>
        <v>0</v>
      </c>
      <c r="BM118" s="165">
        <f>SUM(BM119:BM126)</f>
        <v>842093.5</v>
      </c>
      <c r="BN118" s="165">
        <f>SUM(BN119:BN126)</f>
        <v>0</v>
      </c>
      <c r="BO118" s="165">
        <f t="shared" si="110"/>
        <v>0</v>
      </c>
      <c r="BP118" s="165">
        <f t="shared" si="110"/>
        <v>0</v>
      </c>
      <c r="BQ118" s="165">
        <f t="shared" si="110"/>
        <v>0</v>
      </c>
      <c r="BR118" s="165">
        <f aca="true" t="shared" si="111" ref="BR118:CD118">SUM(BR119:BR126)</f>
        <v>0</v>
      </c>
      <c r="BS118" s="165">
        <f>SUM(BS119:BS126)</f>
        <v>842093.5</v>
      </c>
      <c r="BT118" s="165">
        <f t="shared" si="111"/>
        <v>0</v>
      </c>
      <c r="BU118" s="165">
        <f t="shared" si="111"/>
        <v>0</v>
      </c>
      <c r="BV118" s="165">
        <f t="shared" si="111"/>
        <v>0</v>
      </c>
      <c r="BW118" s="165">
        <f t="shared" si="111"/>
        <v>0</v>
      </c>
      <c r="BX118" s="165">
        <f t="shared" si="111"/>
        <v>0</v>
      </c>
      <c r="BY118" s="165">
        <f>SUM(BY119:BY126)</f>
        <v>842093.5</v>
      </c>
      <c r="BZ118" s="165">
        <f t="shared" si="111"/>
        <v>0</v>
      </c>
      <c r="CA118" s="166">
        <f>SUM(CA119:CA126)</f>
        <v>0</v>
      </c>
      <c r="CB118" s="166">
        <f>SUM(CB119:CB126)</f>
        <v>0</v>
      </c>
      <c r="CC118" s="165">
        <f>SUM(CC119:CC126)</f>
        <v>842093.5</v>
      </c>
      <c r="CD118" s="165">
        <f t="shared" si="111"/>
        <v>0</v>
      </c>
      <c r="CE118" s="167">
        <f>2850+1600+12400+38930+6390+22830+4455+8740+6260+18370+3370+16950+10050+148081.61+8859.68+3500+63340+38660+450+218720+11090+920+5450+1298+1350</f>
        <v>654914.29</v>
      </c>
      <c r="CF118" s="167">
        <f>8000+1552+4000+3900+5000+43434.45+21392.35+554.37+8560+7000+25000+1500+6000+72000+1800+3779+2174+7200+95000+23579+6400+10775+7000+328+11520+1116+75250+4000+1850+45885.81+20701.49+8560+637.99+1505+8000+7500</f>
        <v>552454.46</v>
      </c>
    </row>
    <row r="119" spans="1:84" ht="15.75">
      <c r="A119" s="35"/>
      <c r="B119" s="36" t="s">
        <v>128</v>
      </c>
      <c r="C119" s="36"/>
      <c r="D119" s="36"/>
      <c r="E119" s="37"/>
      <c r="F119" s="37"/>
      <c r="G119" s="37">
        <v>8514</v>
      </c>
      <c r="H119" s="37"/>
      <c r="I119" s="37"/>
      <c r="J119" s="37"/>
      <c r="K119" s="40">
        <f aca="true" t="shared" si="112" ref="K119:K126">SUM(E119+G119-H119+I119-J119)</f>
        <v>8514</v>
      </c>
      <c r="L119" s="37"/>
      <c r="M119" s="37">
        <f>113+8000+8644+113</f>
        <v>16870</v>
      </c>
      <c r="N119" s="37"/>
      <c r="O119" s="37"/>
      <c r="P119" s="37"/>
      <c r="Q119" s="40">
        <f aca="true" t="shared" si="113" ref="Q119:Q126">SUM(K119+M119-N119+O119-P119)</f>
        <v>25384</v>
      </c>
      <c r="R119" s="37"/>
      <c r="S119" s="37">
        <f>113+8694</f>
        <v>8807</v>
      </c>
      <c r="T119" s="37"/>
      <c r="U119" s="37"/>
      <c r="V119" s="37"/>
      <c r="W119" s="40">
        <f aca="true" t="shared" si="114" ref="W119:W126">SUM(Q119+S119-T119+U119-V119)</f>
        <v>34191</v>
      </c>
      <c r="X119" s="37"/>
      <c r="Y119" s="37">
        <f>8694+813</f>
        <v>9507</v>
      </c>
      <c r="Z119" s="37"/>
      <c r="AA119" s="37"/>
      <c r="AB119" s="37"/>
      <c r="AC119" s="40">
        <f aca="true" t="shared" si="115" ref="AC119:AC126">SUM(W119+Y119-Z119+AA119-AB119)</f>
        <v>43698</v>
      </c>
      <c r="AD119" s="37"/>
      <c r="AE119" s="37">
        <f>11079+450+570</f>
        <v>12099</v>
      </c>
      <c r="AF119" s="202"/>
      <c r="AG119" s="37"/>
      <c r="AH119" s="37"/>
      <c r="AI119" s="40">
        <f aca="true" t="shared" si="116" ref="AI119:AI126">SUM(AC119+AE119-AF119+AG119-AH119)</f>
        <v>55797</v>
      </c>
      <c r="AJ119" s="37"/>
      <c r="AK119" s="37">
        <f>11595+576</f>
        <v>12171</v>
      </c>
      <c r="AL119" s="37"/>
      <c r="AM119" s="37"/>
      <c r="AN119" s="37"/>
      <c r="AO119" s="40">
        <f aca="true" t="shared" si="117" ref="AO119:AO126">SUM(AI119+AK119-AL119+AM119-AN119)</f>
        <v>67968</v>
      </c>
      <c r="AP119" s="37"/>
      <c r="AQ119" s="37">
        <f>11595+513</f>
        <v>12108</v>
      </c>
      <c r="AR119" s="37"/>
      <c r="AS119" s="37"/>
      <c r="AT119" s="37"/>
      <c r="AU119" s="40">
        <f aca="true" t="shared" si="118" ref="AU119:AU126">SUM(AO119+AQ119-AR119+AS119-AT119)</f>
        <v>80076</v>
      </c>
      <c r="AV119" s="37"/>
      <c r="AW119" s="37">
        <f>11690+513</f>
        <v>12203</v>
      </c>
      <c r="AX119" s="37"/>
      <c r="AY119" s="37"/>
      <c r="AZ119" s="37"/>
      <c r="BA119" s="40">
        <f aca="true" t="shared" si="119" ref="BA119:BA126">SUM(AU119+AW119-AX119+AY119-AZ119)</f>
        <v>92279</v>
      </c>
      <c r="BB119" s="37"/>
      <c r="BC119" s="37"/>
      <c r="BD119" s="37"/>
      <c r="BE119" s="37"/>
      <c r="BF119" s="37"/>
      <c r="BG119" s="40">
        <f aca="true" t="shared" si="120" ref="BG119:BG124">SUM(BA119+BC119-BD119+BE119-BF119)</f>
        <v>92279</v>
      </c>
      <c r="BH119" s="37"/>
      <c r="BI119" s="37"/>
      <c r="BJ119" s="37"/>
      <c r="BK119" s="37"/>
      <c r="BL119" s="37"/>
      <c r="BM119" s="40">
        <f aca="true" t="shared" si="121" ref="BM119:BM126">SUM(BG119+BI119-BJ119+BK119-BL119)</f>
        <v>92279</v>
      </c>
      <c r="BN119" s="37"/>
      <c r="BO119" s="37"/>
      <c r="BP119" s="37"/>
      <c r="BQ119" s="37"/>
      <c r="BR119" s="37"/>
      <c r="BS119" s="40">
        <f aca="true" t="shared" si="122" ref="BS119:BS126">SUM(BM119+BO119-BP119+BQ119-BR119)</f>
        <v>92279</v>
      </c>
      <c r="BT119" s="37"/>
      <c r="BU119" s="37"/>
      <c r="BV119" s="37"/>
      <c r="BW119" s="37"/>
      <c r="BX119" s="37"/>
      <c r="BY119" s="40">
        <f aca="true" t="shared" si="123" ref="BY119:BY126">SUM(BS119+BU119-BV119+BW119-BX119)</f>
        <v>92279</v>
      </c>
      <c r="BZ119" s="37"/>
      <c r="CA119" s="37"/>
      <c r="CB119" s="37"/>
      <c r="CC119" s="40">
        <f>+BY119+CA119-CB119</f>
        <v>92279</v>
      </c>
      <c r="CD119" s="37"/>
      <c r="CF119" s="6">
        <f>SUM(CE118:CF118)</f>
        <v>1207368.75</v>
      </c>
    </row>
    <row r="120" spans="1:84" ht="15.75">
      <c r="A120" s="38"/>
      <c r="B120" s="39" t="s">
        <v>129</v>
      </c>
      <c r="C120" s="39"/>
      <c r="D120" s="39"/>
      <c r="E120" s="40"/>
      <c r="F120" s="40"/>
      <c r="G120" s="40"/>
      <c r="H120" s="40"/>
      <c r="I120" s="40"/>
      <c r="J120" s="40"/>
      <c r="K120" s="40">
        <f t="shared" si="112"/>
        <v>0</v>
      </c>
      <c r="L120" s="40"/>
      <c r="M120" s="40"/>
      <c r="N120" s="40"/>
      <c r="O120" s="40"/>
      <c r="P120" s="40"/>
      <c r="Q120" s="40">
        <f t="shared" si="113"/>
        <v>0</v>
      </c>
      <c r="R120" s="40"/>
      <c r="S120" s="40"/>
      <c r="T120" s="40"/>
      <c r="U120" s="40"/>
      <c r="V120" s="40"/>
      <c r="W120" s="40">
        <f t="shared" si="114"/>
        <v>0</v>
      </c>
      <c r="X120" s="40"/>
      <c r="Y120" s="40"/>
      <c r="Z120" s="40"/>
      <c r="AA120" s="40"/>
      <c r="AB120" s="40"/>
      <c r="AC120" s="40">
        <f t="shared" si="115"/>
        <v>0</v>
      </c>
      <c r="AD120" s="40"/>
      <c r="AE120" s="40"/>
      <c r="AF120" s="203"/>
      <c r="AG120" s="40"/>
      <c r="AH120" s="40"/>
      <c r="AI120" s="40">
        <f t="shared" si="116"/>
        <v>0</v>
      </c>
      <c r="AJ120" s="40"/>
      <c r="AK120" s="40"/>
      <c r="AL120" s="40"/>
      <c r="AM120" s="40"/>
      <c r="AN120" s="40"/>
      <c r="AO120" s="40">
        <f t="shared" si="117"/>
        <v>0</v>
      </c>
      <c r="AP120" s="40"/>
      <c r="AQ120" s="40"/>
      <c r="AR120" s="40"/>
      <c r="AS120" s="40"/>
      <c r="AT120" s="40"/>
      <c r="AU120" s="40">
        <f t="shared" si="118"/>
        <v>0</v>
      </c>
      <c r="AV120" s="40"/>
      <c r="AW120" s="40">
        <v>0</v>
      </c>
      <c r="AX120" s="40"/>
      <c r="AY120" s="40"/>
      <c r="AZ120" s="40"/>
      <c r="BA120" s="40">
        <f t="shared" si="119"/>
        <v>0</v>
      </c>
      <c r="BB120" s="40"/>
      <c r="BC120" s="40"/>
      <c r="BD120" s="40"/>
      <c r="BE120" s="40"/>
      <c r="BF120" s="40"/>
      <c r="BG120" s="40">
        <f t="shared" si="120"/>
        <v>0</v>
      </c>
      <c r="BH120" s="40"/>
      <c r="BI120" s="40"/>
      <c r="BJ120" s="40"/>
      <c r="BK120" s="40"/>
      <c r="BL120" s="40"/>
      <c r="BM120" s="40">
        <f t="shared" si="121"/>
        <v>0</v>
      </c>
      <c r="BN120" s="40"/>
      <c r="BO120" s="40"/>
      <c r="BP120" s="40"/>
      <c r="BQ120" s="40"/>
      <c r="BR120" s="40"/>
      <c r="BS120" s="40">
        <f t="shared" si="122"/>
        <v>0</v>
      </c>
      <c r="BT120" s="40"/>
      <c r="BU120" s="40"/>
      <c r="BV120" s="40"/>
      <c r="BW120" s="40"/>
      <c r="BX120" s="40"/>
      <c r="BY120" s="40">
        <f t="shared" si="123"/>
        <v>0</v>
      </c>
      <c r="BZ120" s="40"/>
      <c r="CA120" s="40"/>
      <c r="CB120" s="40"/>
      <c r="CC120" s="40">
        <f aca="true" t="shared" si="124" ref="CC120:CC125">+BY120+CA120-CB120</f>
        <v>0</v>
      </c>
      <c r="CD120" s="40"/>
      <c r="CF120" s="6">
        <f>SUM(CE119:CF119)</f>
        <v>1207368.75</v>
      </c>
    </row>
    <row r="121" spans="1:84" ht="15.75">
      <c r="A121" s="38"/>
      <c r="B121" s="39" t="s">
        <v>130</v>
      </c>
      <c r="C121" s="39"/>
      <c r="D121" s="39"/>
      <c r="E121" s="40"/>
      <c r="F121" s="40"/>
      <c r="G121" s="40">
        <v>8000</v>
      </c>
      <c r="H121" s="40"/>
      <c r="I121" s="40"/>
      <c r="J121" s="40"/>
      <c r="K121" s="40">
        <f t="shared" si="112"/>
        <v>8000</v>
      </c>
      <c r="L121" s="40"/>
      <c r="M121" s="40"/>
      <c r="N121" s="40"/>
      <c r="O121" s="40"/>
      <c r="P121" s="40"/>
      <c r="Q121" s="40">
        <f t="shared" si="113"/>
        <v>8000</v>
      </c>
      <c r="R121" s="40"/>
      <c r="S121" s="40">
        <v>8000</v>
      </c>
      <c r="T121" s="40"/>
      <c r="U121" s="40"/>
      <c r="V121" s="40"/>
      <c r="W121" s="40">
        <f>SUM(Q121+S121-T121+U121-V121)</f>
        <v>16000</v>
      </c>
      <c r="X121" s="40"/>
      <c r="Y121" s="40">
        <v>8000</v>
      </c>
      <c r="Z121" s="40"/>
      <c r="AA121" s="40"/>
      <c r="AB121" s="40"/>
      <c r="AC121" s="40">
        <f t="shared" si="115"/>
        <v>24000</v>
      </c>
      <c r="AD121" s="40"/>
      <c r="AE121" s="40">
        <v>8000</v>
      </c>
      <c r="AF121" s="203"/>
      <c r="AG121" s="40"/>
      <c r="AH121" s="40"/>
      <c r="AI121" s="40">
        <f t="shared" si="116"/>
        <v>32000</v>
      </c>
      <c r="AJ121" s="40"/>
      <c r="AK121" s="40">
        <v>8500</v>
      </c>
      <c r="AL121" s="40"/>
      <c r="AM121" s="40"/>
      <c r="AN121" s="40"/>
      <c r="AO121" s="40">
        <f t="shared" si="117"/>
        <v>40500</v>
      </c>
      <c r="AP121" s="40"/>
      <c r="AQ121" s="40">
        <v>8500</v>
      </c>
      <c r="AR121" s="40"/>
      <c r="AS121" s="40"/>
      <c r="AT121" s="40"/>
      <c r="AU121" s="40">
        <f t="shared" si="118"/>
        <v>49000</v>
      </c>
      <c r="AV121" s="40"/>
      <c r="AW121" s="40">
        <v>8000</v>
      </c>
      <c r="AX121" s="40"/>
      <c r="AY121" s="40"/>
      <c r="AZ121" s="40"/>
      <c r="BA121" s="40">
        <f t="shared" si="119"/>
        <v>57000</v>
      </c>
      <c r="BB121" s="40"/>
      <c r="BC121" s="40"/>
      <c r="BD121" s="40"/>
      <c r="BE121" s="40"/>
      <c r="BF121" s="40"/>
      <c r="BG121" s="40">
        <f t="shared" si="120"/>
        <v>57000</v>
      </c>
      <c r="BH121" s="40"/>
      <c r="BI121" s="40"/>
      <c r="BJ121" s="40"/>
      <c r="BK121" s="40"/>
      <c r="BL121" s="40"/>
      <c r="BM121" s="40">
        <f t="shared" si="121"/>
        <v>57000</v>
      </c>
      <c r="BN121" s="40"/>
      <c r="BO121" s="40"/>
      <c r="BP121" s="40"/>
      <c r="BQ121" s="40"/>
      <c r="BR121" s="40"/>
      <c r="BS121" s="40">
        <f t="shared" si="122"/>
        <v>57000</v>
      </c>
      <c r="BT121" s="40"/>
      <c r="BU121" s="40"/>
      <c r="BV121" s="40"/>
      <c r="BW121" s="40"/>
      <c r="BX121" s="40"/>
      <c r="BY121" s="40">
        <f t="shared" si="123"/>
        <v>57000</v>
      </c>
      <c r="BZ121" s="40"/>
      <c r="CA121" s="40"/>
      <c r="CB121" s="40"/>
      <c r="CC121" s="40">
        <f t="shared" si="124"/>
        <v>57000</v>
      </c>
      <c r="CD121" s="40"/>
      <c r="CF121" s="6">
        <f>+BI117-CF120</f>
        <v>-1207368.75</v>
      </c>
    </row>
    <row r="122" spans="1:83" ht="15.75">
      <c r="A122" s="38"/>
      <c r="B122" s="39" t="s">
        <v>131</v>
      </c>
      <c r="C122" s="39"/>
      <c r="D122" s="39"/>
      <c r="E122" s="40"/>
      <c r="F122" s="40"/>
      <c r="G122" s="40"/>
      <c r="H122" s="40"/>
      <c r="I122" s="40"/>
      <c r="J122" s="40"/>
      <c r="K122" s="40">
        <f t="shared" si="112"/>
        <v>0</v>
      </c>
      <c r="L122" s="40"/>
      <c r="M122" s="40"/>
      <c r="N122" s="40"/>
      <c r="O122" s="40"/>
      <c r="P122" s="40"/>
      <c r="Q122" s="40">
        <f t="shared" si="113"/>
        <v>0</v>
      </c>
      <c r="R122" s="40"/>
      <c r="S122" s="40">
        <v>28300</v>
      </c>
      <c r="T122" s="40"/>
      <c r="U122" s="40"/>
      <c r="V122" s="40"/>
      <c r="W122" s="40">
        <f t="shared" si="114"/>
        <v>28300</v>
      </c>
      <c r="X122" s="40"/>
      <c r="Y122" s="40">
        <f>8290+81400+12700</f>
        <v>102390</v>
      </c>
      <c r="Z122" s="40"/>
      <c r="AA122" s="40"/>
      <c r="AB122" s="40"/>
      <c r="AC122" s="40">
        <f t="shared" si="115"/>
        <v>130690</v>
      </c>
      <c r="AD122" s="40"/>
      <c r="AE122" s="40"/>
      <c r="AF122" s="203"/>
      <c r="AG122" s="40"/>
      <c r="AH122" s="40"/>
      <c r="AI122" s="40">
        <f>SUM(AC122+AE122-AF122+AG122-AH122)</f>
        <v>130690</v>
      </c>
      <c r="AJ122" s="40"/>
      <c r="AK122" s="40"/>
      <c r="AL122" s="40"/>
      <c r="AM122" s="40"/>
      <c r="AN122" s="40"/>
      <c r="AO122" s="40">
        <f t="shared" si="117"/>
        <v>130690</v>
      </c>
      <c r="AP122" s="40"/>
      <c r="AQ122" s="40">
        <f>23000+62458</f>
        <v>85458</v>
      </c>
      <c r="AR122" s="40"/>
      <c r="AS122" s="40"/>
      <c r="AT122" s="40"/>
      <c r="AU122" s="40">
        <f t="shared" si="118"/>
        <v>216148</v>
      </c>
      <c r="AV122" s="40"/>
      <c r="AW122" s="40">
        <v>2800</v>
      </c>
      <c r="AX122" s="40"/>
      <c r="AY122" s="40"/>
      <c r="AZ122" s="40"/>
      <c r="BA122" s="40">
        <f t="shared" si="119"/>
        <v>218948</v>
      </c>
      <c r="BB122" s="40"/>
      <c r="BC122" s="40"/>
      <c r="BD122" s="40"/>
      <c r="BE122" s="40"/>
      <c r="BF122" s="40"/>
      <c r="BG122" s="40">
        <f t="shared" si="120"/>
        <v>218948</v>
      </c>
      <c r="BH122" s="40"/>
      <c r="BI122" s="40"/>
      <c r="BJ122" s="40"/>
      <c r="BK122" s="40"/>
      <c r="BL122" s="40"/>
      <c r="BM122" s="40">
        <f t="shared" si="121"/>
        <v>218948</v>
      </c>
      <c r="BN122" s="40"/>
      <c r="BO122" s="40"/>
      <c r="BP122" s="40"/>
      <c r="BQ122" s="40"/>
      <c r="BR122" s="40"/>
      <c r="BS122" s="40">
        <f t="shared" si="122"/>
        <v>218948</v>
      </c>
      <c r="BT122" s="40"/>
      <c r="BU122" s="40"/>
      <c r="BV122" s="40"/>
      <c r="BW122" s="40"/>
      <c r="BX122" s="40"/>
      <c r="BY122" s="40">
        <f t="shared" si="123"/>
        <v>218948</v>
      </c>
      <c r="BZ122" s="40"/>
      <c r="CA122" s="40"/>
      <c r="CB122" s="40"/>
      <c r="CC122" s="40">
        <f t="shared" si="124"/>
        <v>218948</v>
      </c>
      <c r="CD122" s="40"/>
      <c r="CE122" s="6">
        <f>116833-AK118</f>
        <v>96162</v>
      </c>
    </row>
    <row r="123" spans="1:82" ht="15.75">
      <c r="A123" s="38"/>
      <c r="B123" s="39" t="s">
        <v>299</v>
      </c>
      <c r="C123" s="39"/>
      <c r="D123" s="39"/>
      <c r="E123" s="40"/>
      <c r="F123" s="40"/>
      <c r="G123" s="40"/>
      <c r="H123" s="40"/>
      <c r="I123" s="40"/>
      <c r="J123" s="40"/>
      <c r="K123" s="40">
        <f t="shared" si="112"/>
        <v>0</v>
      </c>
      <c r="L123" s="40"/>
      <c r="M123" s="40"/>
      <c r="N123" s="40"/>
      <c r="O123" s="40"/>
      <c r="P123" s="40"/>
      <c r="Q123" s="40">
        <f t="shared" si="113"/>
        <v>0</v>
      </c>
      <c r="R123" s="40"/>
      <c r="S123" s="40"/>
      <c r="T123" s="40"/>
      <c r="U123" s="40"/>
      <c r="V123" s="40"/>
      <c r="W123" s="40">
        <f t="shared" si="114"/>
        <v>0</v>
      </c>
      <c r="X123" s="40"/>
      <c r="Y123" s="40"/>
      <c r="Z123" s="40"/>
      <c r="AA123" s="40"/>
      <c r="AB123" s="40"/>
      <c r="AC123" s="40">
        <f t="shared" si="115"/>
        <v>0</v>
      </c>
      <c r="AD123" s="40"/>
      <c r="AE123" s="40"/>
      <c r="AF123" s="203"/>
      <c r="AG123" s="40"/>
      <c r="AH123" s="40"/>
      <c r="AI123" s="40">
        <f>SUM(AC123+AE123-AF123+AG123-AH123)</f>
        <v>0</v>
      </c>
      <c r="AJ123" s="40"/>
      <c r="AK123" s="40"/>
      <c r="AL123" s="40"/>
      <c r="AM123" s="40"/>
      <c r="AN123" s="40"/>
      <c r="AO123" s="40">
        <f t="shared" si="117"/>
        <v>0</v>
      </c>
      <c r="AP123" s="40"/>
      <c r="AQ123" s="40"/>
      <c r="AR123" s="40"/>
      <c r="AS123" s="40"/>
      <c r="AT123" s="40"/>
      <c r="AU123" s="40">
        <f t="shared" si="118"/>
        <v>0</v>
      </c>
      <c r="AV123" s="40"/>
      <c r="AW123" s="40">
        <v>170662.5</v>
      </c>
      <c r="AX123" s="40"/>
      <c r="AY123" s="40"/>
      <c r="AZ123" s="40"/>
      <c r="BA123" s="40">
        <f t="shared" si="119"/>
        <v>170662.5</v>
      </c>
      <c r="BB123" s="40"/>
      <c r="BC123" s="40"/>
      <c r="BD123" s="40"/>
      <c r="BE123" s="40"/>
      <c r="BF123" s="40"/>
      <c r="BG123" s="40">
        <f t="shared" si="120"/>
        <v>170662.5</v>
      </c>
      <c r="BH123" s="40"/>
      <c r="BI123" s="40"/>
      <c r="BJ123" s="40"/>
      <c r="BK123" s="40"/>
      <c r="BL123" s="40"/>
      <c r="BM123" s="40">
        <f t="shared" si="121"/>
        <v>170662.5</v>
      </c>
      <c r="BN123" s="40"/>
      <c r="BO123" s="40"/>
      <c r="BP123" s="40"/>
      <c r="BQ123" s="40"/>
      <c r="BR123" s="40"/>
      <c r="BS123" s="40">
        <f t="shared" si="122"/>
        <v>170662.5</v>
      </c>
      <c r="BT123" s="40"/>
      <c r="BU123" s="40"/>
      <c r="BV123" s="40"/>
      <c r="BW123" s="40"/>
      <c r="BX123" s="40"/>
      <c r="BY123" s="40">
        <f t="shared" si="123"/>
        <v>170662.5</v>
      </c>
      <c r="BZ123" s="40"/>
      <c r="CA123" s="40"/>
      <c r="CB123" s="40"/>
      <c r="CC123" s="40">
        <f t="shared" si="124"/>
        <v>170662.5</v>
      </c>
      <c r="CD123" s="40"/>
    </row>
    <row r="124" spans="1:84" ht="15.75">
      <c r="A124" s="38"/>
      <c r="B124" s="39" t="s">
        <v>132</v>
      </c>
      <c r="C124" s="39"/>
      <c r="D124" s="39"/>
      <c r="E124" s="40"/>
      <c r="F124" s="40"/>
      <c r="G124" s="40"/>
      <c r="H124" s="40"/>
      <c r="I124" s="40"/>
      <c r="J124" s="40"/>
      <c r="K124" s="40">
        <f t="shared" si="112"/>
        <v>0</v>
      </c>
      <c r="L124" s="40"/>
      <c r="M124" s="40"/>
      <c r="N124" s="40"/>
      <c r="O124" s="40"/>
      <c r="P124" s="40"/>
      <c r="Q124" s="40">
        <f t="shared" si="113"/>
        <v>0</v>
      </c>
      <c r="R124" s="40"/>
      <c r="S124" s="40"/>
      <c r="T124" s="40"/>
      <c r="U124" s="40"/>
      <c r="V124" s="40"/>
      <c r="W124" s="40">
        <f t="shared" si="114"/>
        <v>0</v>
      </c>
      <c r="X124" s="40"/>
      <c r="Y124" s="40"/>
      <c r="Z124" s="40"/>
      <c r="AA124" s="40"/>
      <c r="AB124" s="40"/>
      <c r="AC124" s="40">
        <f t="shared" si="115"/>
        <v>0</v>
      </c>
      <c r="AD124" s="40"/>
      <c r="AE124" s="40"/>
      <c r="AF124" s="203"/>
      <c r="AG124" s="40"/>
      <c r="AH124" s="40"/>
      <c r="AI124" s="40">
        <f>SUM(AC124+AE124-AF124+AG124-AH124)</f>
        <v>0</v>
      </c>
      <c r="AJ124" s="40"/>
      <c r="AK124" s="40"/>
      <c r="AL124" s="40"/>
      <c r="AM124" s="40"/>
      <c r="AN124" s="40"/>
      <c r="AO124" s="40">
        <f t="shared" si="117"/>
        <v>0</v>
      </c>
      <c r="AP124" s="40"/>
      <c r="AQ124" s="40"/>
      <c r="AR124" s="40"/>
      <c r="AS124" s="40"/>
      <c r="AT124" s="40"/>
      <c r="AU124" s="40">
        <f t="shared" si="118"/>
        <v>0</v>
      </c>
      <c r="AV124" s="40"/>
      <c r="AW124" s="40">
        <v>303204</v>
      </c>
      <c r="AX124" s="40"/>
      <c r="AY124" s="40"/>
      <c r="AZ124" s="40"/>
      <c r="BA124" s="40">
        <f t="shared" si="119"/>
        <v>303204</v>
      </c>
      <c r="BB124" s="40"/>
      <c r="BC124" s="40"/>
      <c r="BD124" s="40"/>
      <c r="BE124" s="40"/>
      <c r="BF124" s="40"/>
      <c r="BG124" s="40">
        <f t="shared" si="120"/>
        <v>303204</v>
      </c>
      <c r="BH124" s="40"/>
      <c r="BI124" s="40"/>
      <c r="BJ124" s="40"/>
      <c r="BK124" s="40"/>
      <c r="BL124" s="40"/>
      <c r="BM124" s="40">
        <f t="shared" si="121"/>
        <v>303204</v>
      </c>
      <c r="BN124" s="40"/>
      <c r="BO124" s="40"/>
      <c r="BP124" s="40"/>
      <c r="BQ124" s="40"/>
      <c r="BR124" s="40"/>
      <c r="BS124" s="40">
        <f t="shared" si="122"/>
        <v>303204</v>
      </c>
      <c r="BT124" s="40"/>
      <c r="BU124" s="40"/>
      <c r="BV124" s="40"/>
      <c r="BW124" s="40"/>
      <c r="BX124" s="40"/>
      <c r="BY124" s="40">
        <f t="shared" si="123"/>
        <v>303204</v>
      </c>
      <c r="BZ124" s="40"/>
      <c r="CA124" s="40"/>
      <c r="CB124" s="40"/>
      <c r="CC124" s="40">
        <f t="shared" si="124"/>
        <v>303204</v>
      </c>
      <c r="CD124" s="40"/>
      <c r="CF124" s="6">
        <f>+BI117+BK117</f>
        <v>0</v>
      </c>
    </row>
    <row r="125" spans="1:82" ht="15.75">
      <c r="A125" s="71"/>
      <c r="B125" s="72" t="s">
        <v>332</v>
      </c>
      <c r="C125" s="72"/>
      <c r="D125" s="72"/>
      <c r="E125" s="56"/>
      <c r="F125" s="56"/>
      <c r="G125" s="56"/>
      <c r="H125" s="56"/>
      <c r="I125" s="56"/>
      <c r="J125" s="56"/>
      <c r="K125" s="40">
        <f t="shared" si="112"/>
        <v>0</v>
      </c>
      <c r="L125" s="56"/>
      <c r="M125" s="56"/>
      <c r="N125" s="56"/>
      <c r="O125" s="56"/>
      <c r="P125" s="56"/>
      <c r="Q125" s="40">
        <f t="shared" si="113"/>
        <v>0</v>
      </c>
      <c r="R125" s="56"/>
      <c r="S125" s="56"/>
      <c r="T125" s="56"/>
      <c r="U125" s="56"/>
      <c r="V125" s="56"/>
      <c r="W125" s="40">
        <f t="shared" si="114"/>
        <v>0</v>
      </c>
      <c r="X125" s="56"/>
      <c r="Y125" s="56"/>
      <c r="Z125" s="56"/>
      <c r="AA125" s="56"/>
      <c r="AB125" s="56"/>
      <c r="AC125" s="40">
        <f t="shared" si="115"/>
        <v>0</v>
      </c>
      <c r="AD125" s="56"/>
      <c r="AE125" s="56"/>
      <c r="AF125" s="206"/>
      <c r="AG125" s="56"/>
      <c r="AH125" s="56"/>
      <c r="AI125" s="40">
        <f t="shared" si="116"/>
        <v>0</v>
      </c>
      <c r="AJ125" s="56"/>
      <c r="AK125" s="56"/>
      <c r="AL125" s="56"/>
      <c r="AM125" s="56"/>
      <c r="AN125" s="56"/>
      <c r="AO125" s="40">
        <f t="shared" si="117"/>
        <v>0</v>
      </c>
      <c r="AP125" s="56"/>
      <c r="AQ125" s="56"/>
      <c r="AR125" s="56"/>
      <c r="AS125" s="56"/>
      <c r="AT125" s="56"/>
      <c r="AU125" s="40">
        <f t="shared" si="118"/>
        <v>0</v>
      </c>
      <c r="AV125" s="56"/>
      <c r="AW125" s="56">
        <v>0</v>
      </c>
      <c r="AX125" s="56"/>
      <c r="AY125" s="56"/>
      <c r="AZ125" s="56"/>
      <c r="BA125" s="40">
        <f t="shared" si="119"/>
        <v>0</v>
      </c>
      <c r="BB125" s="56"/>
      <c r="BC125" s="56"/>
      <c r="BD125" s="56"/>
      <c r="BE125" s="56"/>
      <c r="BF125" s="56"/>
      <c r="BG125" s="40">
        <f>SUM(BA125+BC125-BD125+BE125-BF125)</f>
        <v>0</v>
      </c>
      <c r="BH125" s="56"/>
      <c r="BI125" s="56"/>
      <c r="BJ125" s="56"/>
      <c r="BK125" s="56"/>
      <c r="BL125" s="56"/>
      <c r="BM125" s="40">
        <f t="shared" si="121"/>
        <v>0</v>
      </c>
      <c r="BN125" s="56"/>
      <c r="BO125" s="56"/>
      <c r="BP125" s="56"/>
      <c r="BQ125" s="56"/>
      <c r="BR125" s="56"/>
      <c r="BS125" s="40">
        <f t="shared" si="122"/>
        <v>0</v>
      </c>
      <c r="BT125" s="56"/>
      <c r="BU125" s="56"/>
      <c r="BV125" s="56"/>
      <c r="BW125" s="56"/>
      <c r="BX125" s="56"/>
      <c r="BY125" s="40">
        <f t="shared" si="123"/>
        <v>0</v>
      </c>
      <c r="BZ125" s="56"/>
      <c r="CA125" s="56"/>
      <c r="CB125" s="56"/>
      <c r="CC125" s="40">
        <f t="shared" si="124"/>
        <v>0</v>
      </c>
      <c r="CD125" s="56"/>
    </row>
    <row r="126" spans="1:82" ht="15.75">
      <c r="A126" s="41"/>
      <c r="B126" s="42"/>
      <c r="C126" s="42"/>
      <c r="D126" s="42"/>
      <c r="E126" s="43"/>
      <c r="F126" s="43"/>
      <c r="G126" s="43"/>
      <c r="H126" s="43"/>
      <c r="I126" s="43"/>
      <c r="J126" s="43"/>
      <c r="K126" s="43">
        <f t="shared" si="112"/>
        <v>0</v>
      </c>
      <c r="L126" s="43"/>
      <c r="M126" s="43"/>
      <c r="N126" s="43"/>
      <c r="O126" s="43"/>
      <c r="P126" s="43"/>
      <c r="Q126" s="43">
        <f t="shared" si="113"/>
        <v>0</v>
      </c>
      <c r="R126" s="43"/>
      <c r="S126" s="43"/>
      <c r="T126" s="43"/>
      <c r="U126" s="43"/>
      <c r="V126" s="43"/>
      <c r="W126" s="43">
        <f t="shared" si="114"/>
        <v>0</v>
      </c>
      <c r="X126" s="43"/>
      <c r="Y126" s="43"/>
      <c r="Z126" s="43"/>
      <c r="AA126" s="43"/>
      <c r="AB126" s="43"/>
      <c r="AC126" s="43">
        <f t="shared" si="115"/>
        <v>0</v>
      </c>
      <c r="AD126" s="43"/>
      <c r="AE126" s="43"/>
      <c r="AF126" s="204"/>
      <c r="AG126" s="43"/>
      <c r="AH126" s="43"/>
      <c r="AI126" s="43">
        <f t="shared" si="116"/>
        <v>0</v>
      </c>
      <c r="AJ126" s="43"/>
      <c r="AK126" s="43"/>
      <c r="AL126" s="43"/>
      <c r="AM126" s="43"/>
      <c r="AN126" s="43"/>
      <c r="AO126" s="43">
        <f t="shared" si="117"/>
        <v>0</v>
      </c>
      <c r="AP126" s="43"/>
      <c r="AQ126" s="43"/>
      <c r="AR126" s="43"/>
      <c r="AS126" s="43"/>
      <c r="AT126" s="43"/>
      <c r="AU126" s="43">
        <f t="shared" si="118"/>
        <v>0</v>
      </c>
      <c r="AV126" s="43"/>
      <c r="AW126" s="43"/>
      <c r="AX126" s="43"/>
      <c r="AY126" s="43"/>
      <c r="AZ126" s="43"/>
      <c r="BA126" s="43">
        <f t="shared" si="119"/>
        <v>0</v>
      </c>
      <c r="BB126" s="43"/>
      <c r="BC126" s="43"/>
      <c r="BD126" s="43"/>
      <c r="BE126" s="43"/>
      <c r="BF126" s="43"/>
      <c r="BG126" s="43">
        <f>SUM(BA126+BC126-BD126+BE126-BF126)</f>
        <v>0</v>
      </c>
      <c r="BH126" s="43"/>
      <c r="BI126" s="43"/>
      <c r="BJ126" s="43"/>
      <c r="BK126" s="43"/>
      <c r="BL126" s="43"/>
      <c r="BM126" s="43">
        <f t="shared" si="121"/>
        <v>0</v>
      </c>
      <c r="BN126" s="43"/>
      <c r="BO126" s="43"/>
      <c r="BP126" s="43"/>
      <c r="BQ126" s="43"/>
      <c r="BR126" s="43"/>
      <c r="BS126" s="43">
        <f t="shared" si="122"/>
        <v>0</v>
      </c>
      <c r="BT126" s="43"/>
      <c r="BU126" s="43"/>
      <c r="BV126" s="43"/>
      <c r="BW126" s="43"/>
      <c r="BX126" s="43"/>
      <c r="BY126" s="43">
        <f t="shared" si="123"/>
        <v>0</v>
      </c>
      <c r="BZ126" s="43"/>
      <c r="CA126" s="43"/>
      <c r="CB126" s="43"/>
      <c r="CC126" s="43">
        <f>SUM(BW126+BY126-BZ126+CA126-CB126)</f>
        <v>0</v>
      </c>
      <c r="CD126" s="43"/>
    </row>
    <row r="127" spans="1:82" ht="15.75">
      <c r="A127" s="30" t="s">
        <v>119</v>
      </c>
      <c r="B127" s="28"/>
      <c r="C127" s="28"/>
      <c r="D127" s="28"/>
      <c r="E127" s="12"/>
      <c r="F127" s="12"/>
      <c r="G127" s="12">
        <v>213734</v>
      </c>
      <c r="H127" s="12"/>
      <c r="I127" s="12"/>
      <c r="J127" s="12"/>
      <c r="K127" s="12">
        <f>SUM(E127+G127-H127+I127-J127)</f>
        <v>213734</v>
      </c>
      <c r="L127" s="12"/>
      <c r="M127" s="12">
        <v>218720</v>
      </c>
      <c r="N127" s="12"/>
      <c r="O127" s="12"/>
      <c r="P127" s="12"/>
      <c r="Q127" s="12">
        <f>SUM(K127+M127-N127+O127-P127)</f>
        <v>432454</v>
      </c>
      <c r="R127" s="12"/>
      <c r="S127" s="12">
        <v>218720</v>
      </c>
      <c r="T127" s="12"/>
      <c r="U127" s="12"/>
      <c r="V127" s="12"/>
      <c r="W127" s="12">
        <f>SUM(Q127+S127-T127+U127-V127)</f>
        <v>651174</v>
      </c>
      <c r="X127" s="12"/>
      <c r="Y127" s="12">
        <v>218720</v>
      </c>
      <c r="Z127" s="12"/>
      <c r="AA127" s="12"/>
      <c r="AB127" s="12"/>
      <c r="AC127" s="12">
        <f>SUM(W127+Y127-Z127+AA127-AB127)</f>
        <v>869894</v>
      </c>
      <c r="AD127" s="12"/>
      <c r="AE127" s="12">
        <v>218720</v>
      </c>
      <c r="AF127" s="200"/>
      <c r="AG127" s="12"/>
      <c r="AH127" s="12"/>
      <c r="AI127" s="12">
        <f>SUM(AC127+AE127-AF127+AG127-AH127)</f>
        <v>1088614</v>
      </c>
      <c r="AJ127" s="12"/>
      <c r="AK127" s="12">
        <v>218720</v>
      </c>
      <c r="AL127" s="12"/>
      <c r="AM127" s="12"/>
      <c r="AN127" s="12"/>
      <c r="AO127" s="12">
        <f>SUM(AI127+AK127-AL127+AM127-AN127)</f>
        <v>1307334</v>
      </c>
      <c r="AP127" s="12"/>
      <c r="AQ127" s="12">
        <v>218720</v>
      </c>
      <c r="AR127" s="12"/>
      <c r="AS127" s="12"/>
      <c r="AT127" s="12"/>
      <c r="AU127" s="12">
        <f>SUM(AO127+AQ127-AR127+AS127-AT127)</f>
        <v>1526054</v>
      </c>
      <c r="AV127" s="12"/>
      <c r="AW127" s="12">
        <v>218720</v>
      </c>
      <c r="AX127" s="12"/>
      <c r="AY127" s="12"/>
      <c r="AZ127" s="12"/>
      <c r="BA127" s="12">
        <f>SUM(AU127+AW127-AX127+AY127-AZ127)</f>
        <v>1744774</v>
      </c>
      <c r="BB127" s="12"/>
      <c r="BC127" s="12"/>
      <c r="BD127" s="12"/>
      <c r="BE127" s="12"/>
      <c r="BF127" s="12"/>
      <c r="BG127" s="12">
        <f>SUM(BA127+BC127-BD127+BE127-BF127)</f>
        <v>1744774</v>
      </c>
      <c r="BH127" s="12"/>
      <c r="BI127" s="12"/>
      <c r="BJ127" s="12"/>
      <c r="BK127" s="12"/>
      <c r="BL127" s="12"/>
      <c r="BM127" s="12">
        <f>SUM(BG127+BI127-BJ127+BK127-BL127)</f>
        <v>1744774</v>
      </c>
      <c r="BN127" s="12"/>
      <c r="BO127" s="12"/>
      <c r="BP127" s="12"/>
      <c r="BQ127" s="12"/>
      <c r="BR127" s="12"/>
      <c r="BS127" s="12">
        <f>SUM(BM127+BO127-BP127+BQ127-BR127)</f>
        <v>1744774</v>
      </c>
      <c r="BT127" s="12"/>
      <c r="BU127" s="12"/>
      <c r="BV127" s="12"/>
      <c r="BW127" s="12"/>
      <c r="BX127" s="12"/>
      <c r="BY127" s="12">
        <f>SUM(BS127+BU127-BV127+BW127-BX127)</f>
        <v>1744774</v>
      </c>
      <c r="BZ127" s="12"/>
      <c r="CA127" s="12"/>
      <c r="CB127" s="12"/>
      <c r="CC127" s="12">
        <f>+BY127+CA127-CB127</f>
        <v>1744774</v>
      </c>
      <c r="CD127" s="12"/>
    </row>
    <row r="128" spans="1:83" ht="15.75">
      <c r="A128" s="30" t="s">
        <v>118</v>
      </c>
      <c r="B128" s="28"/>
      <c r="C128" s="28"/>
      <c r="D128" s="28"/>
      <c r="E128" s="12"/>
      <c r="F128" s="12"/>
      <c r="G128" s="12">
        <v>333023</v>
      </c>
      <c r="H128" s="12"/>
      <c r="I128" s="12"/>
      <c r="J128" s="12"/>
      <c r="K128" s="12">
        <f aca="true" t="shared" si="125" ref="K128:K139">SUM(E128+G128-H128+I128-J128)</f>
        <v>333023</v>
      </c>
      <c r="L128" s="12"/>
      <c r="M128" s="12">
        <v>356107</v>
      </c>
      <c r="N128" s="12"/>
      <c r="O128" s="12"/>
      <c r="P128" s="12"/>
      <c r="Q128" s="12">
        <f>SUM(K128+M128-N128+O128-P128)</f>
        <v>689130</v>
      </c>
      <c r="R128" s="12"/>
      <c r="S128" s="12">
        <v>369872.23</v>
      </c>
      <c r="T128" s="12"/>
      <c r="U128" s="12"/>
      <c r="V128" s="12"/>
      <c r="W128" s="12">
        <f aca="true" t="shared" si="126" ref="W128:W139">SUM(Q128+S128-T128+U128-V128)</f>
        <v>1059002.23</v>
      </c>
      <c r="X128" s="12"/>
      <c r="Y128" s="12">
        <v>367099</v>
      </c>
      <c r="Z128" s="12"/>
      <c r="AA128" s="12"/>
      <c r="AB128" s="12"/>
      <c r="AC128" s="12">
        <f aca="true" t="shared" si="127" ref="AC128:AC139">SUM(W128+Y128-Z128+AA128-AB128)</f>
        <v>1426101.23</v>
      </c>
      <c r="AD128" s="12"/>
      <c r="AE128" s="12">
        <v>361591</v>
      </c>
      <c r="AF128" s="12"/>
      <c r="AG128" s="12"/>
      <c r="AH128" s="12"/>
      <c r="AI128" s="12">
        <f aca="true" t="shared" si="128" ref="AI128:AI139">SUM(AC128+AE128-AF128+AG128-AH128)</f>
        <v>1787692.23</v>
      </c>
      <c r="AJ128" s="12"/>
      <c r="AK128" s="12">
        <v>360385</v>
      </c>
      <c r="AL128" s="12"/>
      <c r="AM128" s="12"/>
      <c r="AN128" s="12"/>
      <c r="AO128" s="12">
        <f aca="true" t="shared" si="129" ref="AO128:AO139">SUM(AI128+AK128-AL128+AM128-AN128)</f>
        <v>2148077.23</v>
      </c>
      <c r="AP128" s="12"/>
      <c r="AQ128" s="12">
        <v>362953</v>
      </c>
      <c r="AR128" s="12"/>
      <c r="AS128" s="12"/>
      <c r="AT128" s="12"/>
      <c r="AU128" s="12">
        <f>SUM(AO128+AQ128-AR128+AS128-AT128)</f>
        <v>2511030.23</v>
      </c>
      <c r="AV128" s="12"/>
      <c r="AW128" s="12">
        <v>398250</v>
      </c>
      <c r="AX128" s="12">
        <v>105</v>
      </c>
      <c r="AY128" s="12"/>
      <c r="AZ128" s="12"/>
      <c r="BA128" s="12">
        <f aca="true" t="shared" si="130" ref="BA128:BA139">SUM(AU128+AW128-AX128+AY128-AZ128)</f>
        <v>2909175.23</v>
      </c>
      <c r="BB128" s="12"/>
      <c r="BC128" s="12"/>
      <c r="BD128" s="12"/>
      <c r="BE128" s="12"/>
      <c r="BF128" s="12"/>
      <c r="BG128" s="12">
        <f aca="true" t="shared" si="131" ref="BG128:BG139">SUM(BA128+BC128-BD128+BE128-BF128)</f>
        <v>2909175.23</v>
      </c>
      <c r="BH128" s="12"/>
      <c r="BI128" s="12"/>
      <c r="BJ128" s="12"/>
      <c r="BK128" s="12"/>
      <c r="BL128" s="12"/>
      <c r="BM128" s="12">
        <f aca="true" t="shared" si="132" ref="BM128:BM139">SUM(BG128+BI128-BJ128+BK128-BL128)</f>
        <v>2909175.23</v>
      </c>
      <c r="BN128" s="12"/>
      <c r="BO128" s="12"/>
      <c r="BP128" s="12"/>
      <c r="BQ128" s="12"/>
      <c r="BR128" s="12"/>
      <c r="BS128" s="12">
        <f aca="true" t="shared" si="133" ref="BS128:BS138">SUM(BM128+BO128-BP128+BQ128-BR128)</f>
        <v>2909175.23</v>
      </c>
      <c r="BT128" s="12"/>
      <c r="BU128" s="12"/>
      <c r="BV128" s="12"/>
      <c r="BW128" s="12"/>
      <c r="BX128" s="12"/>
      <c r="BY128" s="12">
        <f aca="true" t="shared" si="134" ref="BY128:BY139">SUM(BS128+BU128-BV128+BW128-BX128)</f>
        <v>2909175.23</v>
      </c>
      <c r="BZ128" s="12"/>
      <c r="CA128" s="12"/>
      <c r="CB128" s="12"/>
      <c r="CC128" s="12">
        <f aca="true" t="shared" si="135" ref="CC128:CC138">+BY128+CA128-CB128</f>
        <v>2909175.23</v>
      </c>
      <c r="CD128" s="12"/>
      <c r="CE128" s="6">
        <f>+BY128-'[2]จ่ายเดือน (2)'!$G$26</f>
        <v>195646.9200000004</v>
      </c>
    </row>
    <row r="129" spans="1:83" ht="15.75">
      <c r="A129" s="13" t="s">
        <v>3</v>
      </c>
      <c r="B129" s="28"/>
      <c r="C129" s="28"/>
      <c r="D129" s="28"/>
      <c r="E129" s="12"/>
      <c r="F129" s="12"/>
      <c r="G129" s="12">
        <v>27285</v>
      </c>
      <c r="H129" s="12"/>
      <c r="I129" s="12"/>
      <c r="J129" s="12"/>
      <c r="K129" s="12">
        <f t="shared" si="125"/>
        <v>27285</v>
      </c>
      <c r="L129" s="12"/>
      <c r="M129" s="12">
        <v>55035</v>
      </c>
      <c r="N129" s="12"/>
      <c r="O129" s="12"/>
      <c r="P129" s="12"/>
      <c r="Q129" s="12">
        <f aca="true" t="shared" si="136" ref="Q129:Q139">SUM(K129+M129-N129+O129-P129)</f>
        <v>82320</v>
      </c>
      <c r="R129" s="12"/>
      <c r="S129" s="12">
        <v>30960</v>
      </c>
      <c r="T129" s="12"/>
      <c r="U129" s="12"/>
      <c r="V129" s="12"/>
      <c r="W129" s="12">
        <f t="shared" si="126"/>
        <v>113280</v>
      </c>
      <c r="X129" s="12"/>
      <c r="Y129" s="12">
        <v>30960</v>
      </c>
      <c r="Z129" s="12"/>
      <c r="AA129" s="12"/>
      <c r="AB129" s="12"/>
      <c r="AC129" s="12">
        <f t="shared" si="127"/>
        <v>144240</v>
      </c>
      <c r="AD129" s="12"/>
      <c r="AE129" s="12">
        <v>30960</v>
      </c>
      <c r="AF129" s="200"/>
      <c r="AG129" s="12"/>
      <c r="AH129" s="12"/>
      <c r="AI129" s="12">
        <f t="shared" si="128"/>
        <v>175200</v>
      </c>
      <c r="AJ129" s="12"/>
      <c r="AK129" s="12">
        <v>30960</v>
      </c>
      <c r="AL129" s="12"/>
      <c r="AM129" s="12"/>
      <c r="AN129" s="12"/>
      <c r="AO129" s="12">
        <f t="shared" si="129"/>
        <v>206160</v>
      </c>
      <c r="AP129" s="12"/>
      <c r="AQ129" s="12">
        <v>30960</v>
      </c>
      <c r="AR129" s="12"/>
      <c r="AS129" s="12"/>
      <c r="AT129" s="12"/>
      <c r="AU129" s="12">
        <f aca="true" t="shared" si="137" ref="AU129:AU139">SUM(AO129+AQ129-AR129+AS129-AT129)</f>
        <v>237120</v>
      </c>
      <c r="AV129" s="12"/>
      <c r="AW129" s="12">
        <v>32100</v>
      </c>
      <c r="AX129" s="12"/>
      <c r="AY129" s="12"/>
      <c r="AZ129" s="12"/>
      <c r="BA129" s="12">
        <f t="shared" si="130"/>
        <v>269220</v>
      </c>
      <c r="BB129" s="12"/>
      <c r="BC129" s="12"/>
      <c r="BD129" s="12"/>
      <c r="BE129" s="12"/>
      <c r="BF129" s="12"/>
      <c r="BG129" s="12">
        <f t="shared" si="131"/>
        <v>269220</v>
      </c>
      <c r="BH129" s="12"/>
      <c r="BI129" s="12"/>
      <c r="BJ129" s="12"/>
      <c r="BK129" s="12"/>
      <c r="BL129" s="12"/>
      <c r="BM129" s="12">
        <f t="shared" si="132"/>
        <v>269220</v>
      </c>
      <c r="BN129" s="12"/>
      <c r="BO129" s="12"/>
      <c r="BP129" s="12"/>
      <c r="BQ129" s="12"/>
      <c r="BR129" s="12"/>
      <c r="BS129" s="12">
        <f t="shared" si="133"/>
        <v>269220</v>
      </c>
      <c r="BT129" s="12"/>
      <c r="BU129" s="12"/>
      <c r="BV129" s="12"/>
      <c r="BW129" s="12"/>
      <c r="BX129" s="12"/>
      <c r="BY129" s="12">
        <f t="shared" si="134"/>
        <v>269220</v>
      </c>
      <c r="BZ129" s="12"/>
      <c r="CA129" s="12"/>
      <c r="CB129" s="12"/>
      <c r="CC129" s="12">
        <f t="shared" si="135"/>
        <v>269220</v>
      </c>
      <c r="CD129" s="12"/>
      <c r="CE129" s="6">
        <f>+BY129-'[2]จ่ายเดือน (2)'!$G$30</f>
        <v>-44475</v>
      </c>
    </row>
    <row r="130" spans="1:83" ht="15.75">
      <c r="A130" s="13" t="s">
        <v>4</v>
      </c>
      <c r="B130" s="28"/>
      <c r="C130" s="28"/>
      <c r="D130" s="28"/>
      <c r="E130" s="12"/>
      <c r="F130" s="12"/>
      <c r="G130" s="12">
        <v>172970</v>
      </c>
      <c r="H130" s="12"/>
      <c r="I130" s="12"/>
      <c r="J130" s="12"/>
      <c r="K130" s="12">
        <f t="shared" si="125"/>
        <v>172970</v>
      </c>
      <c r="L130" s="12"/>
      <c r="M130" s="12">
        <v>180060</v>
      </c>
      <c r="N130" s="12"/>
      <c r="O130" s="12"/>
      <c r="P130" s="12"/>
      <c r="Q130" s="12">
        <f t="shared" si="136"/>
        <v>353030</v>
      </c>
      <c r="R130" s="12"/>
      <c r="S130" s="12">
        <v>178820</v>
      </c>
      <c r="T130" s="12"/>
      <c r="U130" s="12"/>
      <c r="V130" s="12"/>
      <c r="W130" s="12">
        <f t="shared" si="126"/>
        <v>531850</v>
      </c>
      <c r="X130" s="12"/>
      <c r="Y130" s="12">
        <v>204230</v>
      </c>
      <c r="Z130" s="12"/>
      <c r="AA130" s="12"/>
      <c r="AB130" s="12"/>
      <c r="AC130" s="12">
        <f t="shared" si="127"/>
        <v>736080</v>
      </c>
      <c r="AD130" s="12"/>
      <c r="AE130" s="12">
        <v>233235</v>
      </c>
      <c r="AF130" s="200"/>
      <c r="AG130" s="12"/>
      <c r="AH130" s="12"/>
      <c r="AI130" s="12">
        <f t="shared" si="128"/>
        <v>969315</v>
      </c>
      <c r="AJ130" s="12"/>
      <c r="AK130" s="12">
        <v>246100</v>
      </c>
      <c r="AL130" s="12"/>
      <c r="AM130" s="12"/>
      <c r="AN130" s="12"/>
      <c r="AO130" s="12">
        <f t="shared" si="129"/>
        <v>1215415</v>
      </c>
      <c r="AP130" s="12"/>
      <c r="AQ130" s="12">
        <v>244850</v>
      </c>
      <c r="AR130" s="12"/>
      <c r="AS130" s="12"/>
      <c r="AT130" s="12"/>
      <c r="AU130" s="12">
        <f t="shared" si="137"/>
        <v>1460265</v>
      </c>
      <c r="AV130" s="12"/>
      <c r="AW130" s="12">
        <v>246750</v>
      </c>
      <c r="AX130" s="12"/>
      <c r="AY130" s="12"/>
      <c r="AZ130" s="12"/>
      <c r="BA130" s="12">
        <f t="shared" si="130"/>
        <v>1707015</v>
      </c>
      <c r="BB130" s="12"/>
      <c r="BC130" s="12"/>
      <c r="BD130" s="12"/>
      <c r="BE130" s="12"/>
      <c r="BF130" s="12"/>
      <c r="BG130" s="12">
        <f t="shared" si="131"/>
        <v>1707015</v>
      </c>
      <c r="BH130" s="12"/>
      <c r="BI130" s="12"/>
      <c r="BJ130" s="12"/>
      <c r="BK130" s="12"/>
      <c r="BL130" s="12"/>
      <c r="BM130" s="12">
        <f t="shared" si="132"/>
        <v>1707015</v>
      </c>
      <c r="BN130" s="12"/>
      <c r="BO130" s="12"/>
      <c r="BP130" s="12"/>
      <c r="BQ130" s="12"/>
      <c r="BR130" s="12"/>
      <c r="BS130" s="12">
        <f t="shared" si="133"/>
        <v>1707015</v>
      </c>
      <c r="BT130" s="12"/>
      <c r="BU130" s="12"/>
      <c r="BV130" s="12"/>
      <c r="BW130" s="12"/>
      <c r="BX130" s="12"/>
      <c r="BY130" s="12">
        <f t="shared" si="134"/>
        <v>1707015</v>
      </c>
      <c r="BZ130" s="12"/>
      <c r="CA130" s="12"/>
      <c r="CB130" s="12"/>
      <c r="CC130" s="12">
        <f t="shared" si="135"/>
        <v>1707015</v>
      </c>
      <c r="CD130" s="12"/>
      <c r="CE130" s="6">
        <f>+BY130-'[2]จ่ายเดือน (2)'!$G$33</f>
        <v>-144842.14000000013</v>
      </c>
    </row>
    <row r="131" spans="1:82" ht="15.75">
      <c r="A131" s="13" t="s">
        <v>5</v>
      </c>
      <c r="B131" s="28"/>
      <c r="C131" s="28"/>
      <c r="D131" s="28"/>
      <c r="E131" s="12"/>
      <c r="F131" s="12"/>
      <c r="G131" s="12">
        <v>0</v>
      </c>
      <c r="H131" s="12"/>
      <c r="I131" s="12"/>
      <c r="J131" s="12"/>
      <c r="K131" s="12">
        <f>SUM(E131+G131-H131+I131-J131)</f>
        <v>0</v>
      </c>
      <c r="L131" s="12"/>
      <c r="M131" s="12">
        <v>31574</v>
      </c>
      <c r="N131" s="12"/>
      <c r="O131" s="12"/>
      <c r="P131" s="12"/>
      <c r="Q131" s="12">
        <f t="shared" si="136"/>
        <v>31574</v>
      </c>
      <c r="R131" s="12"/>
      <c r="S131" s="12">
        <v>32637</v>
      </c>
      <c r="T131" s="12"/>
      <c r="U131" s="12">
        <v>12100</v>
      </c>
      <c r="V131" s="12"/>
      <c r="W131" s="12">
        <f t="shared" si="126"/>
        <v>76311</v>
      </c>
      <c r="X131" s="12"/>
      <c r="Y131" s="12">
        <v>30700</v>
      </c>
      <c r="Z131" s="12"/>
      <c r="AA131" s="12"/>
      <c r="AB131" s="12"/>
      <c r="AC131" s="12">
        <f t="shared" si="127"/>
        <v>107011</v>
      </c>
      <c r="AD131" s="12"/>
      <c r="AE131" s="12">
        <v>34800</v>
      </c>
      <c r="AF131" s="200"/>
      <c r="AG131" s="12"/>
      <c r="AH131" s="12"/>
      <c r="AI131" s="12">
        <f t="shared" si="128"/>
        <v>141811</v>
      </c>
      <c r="AJ131" s="12"/>
      <c r="AK131" s="12">
        <v>40000</v>
      </c>
      <c r="AL131" s="12"/>
      <c r="AM131" s="12">
        <v>11400</v>
      </c>
      <c r="AN131" s="12"/>
      <c r="AO131" s="12">
        <f t="shared" si="129"/>
        <v>193211</v>
      </c>
      <c r="AP131" s="12"/>
      <c r="AQ131" s="12">
        <v>31500</v>
      </c>
      <c r="AR131" s="12"/>
      <c r="AS131" s="12"/>
      <c r="AT131" s="12"/>
      <c r="AU131" s="12">
        <f t="shared" si="137"/>
        <v>224711</v>
      </c>
      <c r="AV131" s="12"/>
      <c r="AW131" s="12">
        <v>33630</v>
      </c>
      <c r="AX131" s="12"/>
      <c r="AY131" s="12"/>
      <c r="AZ131" s="12"/>
      <c r="BA131" s="12">
        <f t="shared" si="130"/>
        <v>258341</v>
      </c>
      <c r="BB131" s="12"/>
      <c r="BC131" s="12"/>
      <c r="BD131" s="12"/>
      <c r="BE131" s="12"/>
      <c r="BF131" s="12"/>
      <c r="BG131" s="12">
        <f t="shared" si="131"/>
        <v>258341</v>
      </c>
      <c r="BH131" s="12"/>
      <c r="BI131" s="12"/>
      <c r="BJ131" s="12"/>
      <c r="BK131" s="12"/>
      <c r="BL131" s="12"/>
      <c r="BM131" s="12">
        <f t="shared" si="132"/>
        <v>258341</v>
      </c>
      <c r="BN131" s="12"/>
      <c r="BO131" s="12"/>
      <c r="BP131" s="12"/>
      <c r="BQ131" s="12"/>
      <c r="BR131" s="12"/>
      <c r="BS131" s="12">
        <f t="shared" si="133"/>
        <v>258341</v>
      </c>
      <c r="BT131" s="12"/>
      <c r="BU131" s="12"/>
      <c r="BV131" s="12"/>
      <c r="BW131" s="12"/>
      <c r="BX131" s="12"/>
      <c r="BY131" s="12">
        <f t="shared" si="134"/>
        <v>258341</v>
      </c>
      <c r="BZ131" s="12"/>
      <c r="CA131" s="12"/>
      <c r="CB131" s="12"/>
      <c r="CC131" s="12">
        <f>+BY131+CA131-CB131</f>
        <v>258341</v>
      </c>
      <c r="CD131" s="12"/>
    </row>
    <row r="132" spans="1:82" ht="15.75">
      <c r="A132" s="30" t="s">
        <v>6</v>
      </c>
      <c r="B132" s="28"/>
      <c r="C132" s="28"/>
      <c r="D132" s="28"/>
      <c r="E132" s="12"/>
      <c r="F132" s="12"/>
      <c r="G132" s="12">
        <v>28683.15</v>
      </c>
      <c r="H132" s="12"/>
      <c r="I132" s="12">
        <v>5000</v>
      </c>
      <c r="J132" s="12"/>
      <c r="K132" s="12">
        <f t="shared" si="125"/>
        <v>33683.15</v>
      </c>
      <c r="L132" s="12"/>
      <c r="M132" s="12">
        <v>367581.51</v>
      </c>
      <c r="N132" s="12"/>
      <c r="O132" s="12">
        <f>7000+3500</f>
        <v>10500</v>
      </c>
      <c r="P132" s="12">
        <v>5000</v>
      </c>
      <c r="Q132" s="12">
        <f>SUM(K132+M132-N132+O132-P132)</f>
        <v>406764.66000000003</v>
      </c>
      <c r="R132" s="12"/>
      <c r="S132" s="12">
        <v>232467</v>
      </c>
      <c r="T132" s="12"/>
      <c r="U132" s="12"/>
      <c r="V132" s="12"/>
      <c r="W132" s="12">
        <f>SUM(Q132+S132-T132+U132-V132)</f>
        <v>639231.66</v>
      </c>
      <c r="X132" s="12"/>
      <c r="Y132" s="12">
        <v>607684.55</v>
      </c>
      <c r="Z132" s="12"/>
      <c r="AA132" s="12">
        <f>3600+3600</f>
        <v>7200</v>
      </c>
      <c r="AB132" s="12"/>
      <c r="AC132" s="12">
        <f t="shared" si="127"/>
        <v>1254116.21</v>
      </c>
      <c r="AD132" s="12"/>
      <c r="AE132" s="12">
        <v>229691.35</v>
      </c>
      <c r="AF132" s="200"/>
      <c r="AG132" s="12">
        <f>15600+7600</f>
        <v>23200</v>
      </c>
      <c r="AH132" s="12"/>
      <c r="AI132" s="12">
        <f t="shared" si="128"/>
        <v>1507007.56</v>
      </c>
      <c r="AJ132" s="12"/>
      <c r="AK132" s="12">
        <v>167641.25</v>
      </c>
      <c r="AL132" s="12"/>
      <c r="AM132" s="12">
        <f>7148.65+3700</f>
        <v>10848.65</v>
      </c>
      <c r="AN132" s="12"/>
      <c r="AO132" s="12">
        <f t="shared" si="129"/>
        <v>1685497.46</v>
      </c>
      <c r="AP132" s="12"/>
      <c r="AQ132" s="12">
        <v>261472</v>
      </c>
      <c r="AR132" s="12"/>
      <c r="AS132" s="12">
        <f>3600+3600+3760+3760+3760+3760+3900+3900+3900+3900+3900+28000</f>
        <v>69740</v>
      </c>
      <c r="AT132" s="12"/>
      <c r="AU132" s="12">
        <f t="shared" si="137"/>
        <v>2016709.46</v>
      </c>
      <c r="AV132" s="12"/>
      <c r="AW132" s="12">
        <f>209439.7-3700</f>
        <v>205739.7</v>
      </c>
      <c r="AX132" s="12"/>
      <c r="AY132" s="12"/>
      <c r="AZ132" s="12"/>
      <c r="BA132" s="12">
        <f t="shared" si="130"/>
        <v>2222449.16</v>
      </c>
      <c r="BB132" s="12"/>
      <c r="BC132" s="12"/>
      <c r="BD132" s="12"/>
      <c r="BE132" s="12"/>
      <c r="BF132" s="12"/>
      <c r="BG132" s="12">
        <f>SUM(BA132+BC132-BD132+BE132-BF132)</f>
        <v>2222449.16</v>
      </c>
      <c r="BH132" s="12"/>
      <c r="BI132" s="12"/>
      <c r="BJ132" s="12"/>
      <c r="BK132" s="12"/>
      <c r="BL132" s="12"/>
      <c r="BM132" s="12">
        <f t="shared" si="132"/>
        <v>2222449.16</v>
      </c>
      <c r="BN132" s="12"/>
      <c r="BO132" s="12"/>
      <c r="BP132" s="12"/>
      <c r="BQ132" s="12"/>
      <c r="BR132" s="12"/>
      <c r="BS132" s="12">
        <f t="shared" si="133"/>
        <v>2222449.16</v>
      </c>
      <c r="BT132" s="12"/>
      <c r="BU132" s="12"/>
      <c r="BV132" s="12"/>
      <c r="BW132" s="101"/>
      <c r="BX132" s="12"/>
      <c r="BY132" s="12">
        <f>SUM(BS132+BU132-BV132+BW132-BX132)</f>
        <v>2222449.16</v>
      </c>
      <c r="BZ132" s="12"/>
      <c r="CA132" s="12"/>
      <c r="CB132" s="12"/>
      <c r="CC132" s="12">
        <f>+BY132-CB132</f>
        <v>2222449.16</v>
      </c>
      <c r="CD132" s="12"/>
    </row>
    <row r="133" spans="1:82" ht="15.75">
      <c r="A133" s="30" t="s">
        <v>7</v>
      </c>
      <c r="B133" s="28"/>
      <c r="C133" s="28"/>
      <c r="D133" s="28"/>
      <c r="E133" s="12"/>
      <c r="F133" s="12"/>
      <c r="G133" s="12">
        <v>12950</v>
      </c>
      <c r="H133" s="12"/>
      <c r="I133" s="12"/>
      <c r="J133" s="12"/>
      <c r="K133" s="12">
        <f t="shared" si="125"/>
        <v>12950</v>
      </c>
      <c r="L133" s="12"/>
      <c r="M133" s="12">
        <v>147925</v>
      </c>
      <c r="N133" s="12"/>
      <c r="O133" s="12"/>
      <c r="P133" s="12"/>
      <c r="Q133" s="12">
        <f t="shared" si="136"/>
        <v>160875</v>
      </c>
      <c r="R133" s="12"/>
      <c r="S133" s="12">
        <v>131053</v>
      </c>
      <c r="T133" s="12"/>
      <c r="U133" s="12"/>
      <c r="V133" s="12"/>
      <c r="W133" s="12">
        <f t="shared" si="126"/>
        <v>291928</v>
      </c>
      <c r="X133" s="12"/>
      <c r="Y133" s="12">
        <v>158494</v>
      </c>
      <c r="Z133" s="12"/>
      <c r="AA133" s="12"/>
      <c r="AB133" s="12"/>
      <c r="AC133" s="12">
        <f t="shared" si="127"/>
        <v>450422</v>
      </c>
      <c r="AD133" s="12"/>
      <c r="AE133" s="12">
        <v>79121.36</v>
      </c>
      <c r="AF133" s="200"/>
      <c r="AG133" s="12"/>
      <c r="AH133" s="12"/>
      <c r="AI133" s="12">
        <f t="shared" si="128"/>
        <v>529543.36</v>
      </c>
      <c r="AJ133" s="12"/>
      <c r="AK133" s="12">
        <v>136718.96</v>
      </c>
      <c r="AL133" s="12"/>
      <c r="AM133" s="12"/>
      <c r="AN133" s="12"/>
      <c r="AO133" s="12">
        <f t="shared" si="129"/>
        <v>666262.32</v>
      </c>
      <c r="AP133" s="12"/>
      <c r="AQ133" s="12">
        <v>110369.22</v>
      </c>
      <c r="AR133" s="12"/>
      <c r="AS133" s="12"/>
      <c r="AT133" s="12"/>
      <c r="AU133" s="12">
        <f t="shared" si="137"/>
        <v>776631.5399999999</v>
      </c>
      <c r="AV133" s="12"/>
      <c r="AW133" s="12">
        <f>44292+3700</f>
        <v>47992</v>
      </c>
      <c r="AX133" s="12"/>
      <c r="AY133" s="12"/>
      <c r="AZ133" s="12"/>
      <c r="BA133" s="12">
        <f t="shared" si="130"/>
        <v>824623.5399999999</v>
      </c>
      <c r="BB133" s="12"/>
      <c r="BC133" s="12"/>
      <c r="BD133" s="12"/>
      <c r="BE133" s="12"/>
      <c r="BF133" s="12"/>
      <c r="BG133" s="12">
        <f t="shared" si="131"/>
        <v>824623.5399999999</v>
      </c>
      <c r="BH133" s="12"/>
      <c r="BI133" s="12"/>
      <c r="BJ133" s="12"/>
      <c r="BK133" s="12"/>
      <c r="BL133" s="12"/>
      <c r="BM133" s="12">
        <f t="shared" si="132"/>
        <v>824623.5399999999</v>
      </c>
      <c r="BN133" s="12"/>
      <c r="BO133" s="12"/>
      <c r="BP133" s="12"/>
      <c r="BQ133" s="12"/>
      <c r="BR133" s="12"/>
      <c r="BS133" s="12">
        <f t="shared" si="133"/>
        <v>824623.5399999999</v>
      </c>
      <c r="BT133" s="12"/>
      <c r="BU133" s="12"/>
      <c r="BV133" s="12"/>
      <c r="BW133" s="101"/>
      <c r="BX133" s="12"/>
      <c r="BY133" s="12">
        <f t="shared" si="134"/>
        <v>824623.5399999999</v>
      </c>
      <c r="BZ133" s="12"/>
      <c r="CA133" s="12"/>
      <c r="CB133" s="12"/>
      <c r="CC133" s="12">
        <f t="shared" si="135"/>
        <v>824623.5399999999</v>
      </c>
      <c r="CD133" s="12"/>
    </row>
    <row r="134" spans="1:82" ht="15.75">
      <c r="A134" s="13" t="s">
        <v>8</v>
      </c>
      <c r="B134" s="28"/>
      <c r="C134" s="28"/>
      <c r="D134" s="28"/>
      <c r="E134" s="12"/>
      <c r="F134" s="12"/>
      <c r="G134" s="12">
        <v>1760</v>
      </c>
      <c r="H134" s="12"/>
      <c r="I134" s="12"/>
      <c r="J134" s="12"/>
      <c r="K134" s="12">
        <f t="shared" si="125"/>
        <v>1760</v>
      </c>
      <c r="L134" s="12"/>
      <c r="M134" s="12">
        <v>95053.99</v>
      </c>
      <c r="N134" s="12"/>
      <c r="O134" s="12"/>
      <c r="P134" s="12"/>
      <c r="Q134" s="12">
        <f t="shared" si="136"/>
        <v>96813.99</v>
      </c>
      <c r="R134" s="12"/>
      <c r="S134" s="12">
        <v>165587.24</v>
      </c>
      <c r="T134" s="12"/>
      <c r="U134" s="12"/>
      <c r="V134" s="12"/>
      <c r="W134" s="12">
        <f t="shared" si="126"/>
        <v>262401.23</v>
      </c>
      <c r="X134" s="12"/>
      <c r="Y134" s="12">
        <v>86920.98</v>
      </c>
      <c r="Z134" s="12"/>
      <c r="AA134" s="12"/>
      <c r="AB134" s="12"/>
      <c r="AC134" s="12">
        <f t="shared" si="127"/>
        <v>349322.20999999996</v>
      </c>
      <c r="AD134" s="12"/>
      <c r="AE134" s="12">
        <v>78586.86</v>
      </c>
      <c r="AF134" s="200"/>
      <c r="AG134" s="12"/>
      <c r="AH134" s="12"/>
      <c r="AI134" s="12">
        <f t="shared" si="128"/>
        <v>427909.06999999995</v>
      </c>
      <c r="AJ134" s="12"/>
      <c r="AK134" s="12">
        <v>93680.32</v>
      </c>
      <c r="AL134" s="12"/>
      <c r="AM134" s="12"/>
      <c r="AN134" s="12"/>
      <c r="AO134" s="12">
        <f t="shared" si="129"/>
        <v>521589.38999999996</v>
      </c>
      <c r="AP134" s="12"/>
      <c r="AQ134" s="12">
        <v>5701</v>
      </c>
      <c r="AR134" s="12"/>
      <c r="AS134" s="12"/>
      <c r="AT134" s="12"/>
      <c r="AU134" s="12">
        <f t="shared" si="137"/>
        <v>527290.3899999999</v>
      </c>
      <c r="AV134" s="12"/>
      <c r="AW134" s="12">
        <v>87338.91</v>
      </c>
      <c r="AX134" s="12"/>
      <c r="AY134" s="12"/>
      <c r="AZ134" s="12"/>
      <c r="BA134" s="12">
        <f t="shared" si="130"/>
        <v>614629.2999999999</v>
      </c>
      <c r="BB134" s="12"/>
      <c r="BC134" s="12"/>
      <c r="BD134" s="12"/>
      <c r="BE134" s="12"/>
      <c r="BF134" s="12"/>
      <c r="BG134" s="12">
        <f t="shared" si="131"/>
        <v>614629.2999999999</v>
      </c>
      <c r="BH134" s="12"/>
      <c r="BI134" s="12"/>
      <c r="BJ134" s="12"/>
      <c r="BK134" s="12"/>
      <c r="BL134" s="12"/>
      <c r="BM134" s="12">
        <f t="shared" si="132"/>
        <v>614629.2999999999</v>
      </c>
      <c r="BN134" s="12"/>
      <c r="BO134" s="12"/>
      <c r="BP134" s="12"/>
      <c r="BQ134" s="12"/>
      <c r="BR134" s="12"/>
      <c r="BS134" s="12">
        <f t="shared" si="133"/>
        <v>614629.2999999999</v>
      </c>
      <c r="BT134" s="12"/>
      <c r="BU134" s="12"/>
      <c r="BV134" s="12"/>
      <c r="BW134" s="101"/>
      <c r="BX134" s="12"/>
      <c r="BY134" s="12">
        <f t="shared" si="134"/>
        <v>614629.2999999999</v>
      </c>
      <c r="BZ134" s="12"/>
      <c r="CA134" s="12"/>
      <c r="CB134" s="12"/>
      <c r="CC134" s="12">
        <f t="shared" si="135"/>
        <v>614629.2999999999</v>
      </c>
      <c r="CD134" s="12"/>
    </row>
    <row r="135" spans="1:82" ht="15.75">
      <c r="A135" s="13" t="s">
        <v>57</v>
      </c>
      <c r="B135" s="28"/>
      <c r="C135" s="28"/>
      <c r="D135" s="28"/>
      <c r="E135" s="12"/>
      <c r="F135" s="12"/>
      <c r="G135" s="12">
        <v>0</v>
      </c>
      <c r="H135" s="12"/>
      <c r="I135" s="12"/>
      <c r="J135" s="12"/>
      <c r="K135" s="12">
        <f t="shared" si="125"/>
        <v>0</v>
      </c>
      <c r="L135" s="12"/>
      <c r="M135" s="12">
        <v>29660</v>
      </c>
      <c r="N135" s="12"/>
      <c r="O135" s="12"/>
      <c r="P135" s="12"/>
      <c r="Q135" s="12">
        <f t="shared" si="136"/>
        <v>29660</v>
      </c>
      <c r="R135" s="12"/>
      <c r="S135" s="12">
        <v>5200</v>
      </c>
      <c r="T135" s="12"/>
      <c r="U135" s="12"/>
      <c r="V135" s="12"/>
      <c r="W135" s="12">
        <f t="shared" si="126"/>
        <v>34860</v>
      </c>
      <c r="X135" s="12"/>
      <c r="Y135" s="12">
        <v>216170</v>
      </c>
      <c r="Z135" s="12"/>
      <c r="AA135" s="12"/>
      <c r="AB135" s="12"/>
      <c r="AC135" s="12">
        <f t="shared" si="127"/>
        <v>251030</v>
      </c>
      <c r="AD135" s="12"/>
      <c r="AE135" s="12">
        <v>0</v>
      </c>
      <c r="AF135" s="200"/>
      <c r="AG135" s="12"/>
      <c r="AH135" s="12"/>
      <c r="AI135" s="12">
        <f t="shared" si="128"/>
        <v>251030</v>
      </c>
      <c r="AJ135" s="12"/>
      <c r="AK135" s="12">
        <v>96200</v>
      </c>
      <c r="AL135" s="12"/>
      <c r="AM135" s="12"/>
      <c r="AN135" s="12"/>
      <c r="AO135" s="12">
        <f t="shared" si="129"/>
        <v>347230</v>
      </c>
      <c r="AP135" s="12"/>
      <c r="AQ135" s="12">
        <v>55667.7</v>
      </c>
      <c r="AR135" s="12"/>
      <c r="AS135" s="12"/>
      <c r="AT135" s="12"/>
      <c r="AU135" s="12">
        <f t="shared" si="137"/>
        <v>402897.7</v>
      </c>
      <c r="AV135" s="12"/>
      <c r="AW135" s="12">
        <v>74594</v>
      </c>
      <c r="AX135" s="12"/>
      <c r="AY135" s="12"/>
      <c r="AZ135" s="12"/>
      <c r="BA135" s="12">
        <f t="shared" si="130"/>
        <v>477491.7</v>
      </c>
      <c r="BB135" s="12"/>
      <c r="BC135" s="12"/>
      <c r="BD135" s="12"/>
      <c r="BE135" s="12"/>
      <c r="BF135" s="12"/>
      <c r="BG135" s="12">
        <f t="shared" si="131"/>
        <v>477491.7</v>
      </c>
      <c r="BH135" s="12"/>
      <c r="BI135" s="12"/>
      <c r="BJ135" s="12"/>
      <c r="BK135" s="12"/>
      <c r="BL135" s="12"/>
      <c r="BM135" s="12">
        <f t="shared" si="132"/>
        <v>477491.7</v>
      </c>
      <c r="BN135" s="12"/>
      <c r="BO135" s="12"/>
      <c r="BP135" s="12"/>
      <c r="BQ135" s="12"/>
      <c r="BR135" s="12"/>
      <c r="BS135" s="12">
        <f t="shared" si="133"/>
        <v>477491.7</v>
      </c>
      <c r="BT135" s="12"/>
      <c r="BU135" s="12"/>
      <c r="BV135" s="12"/>
      <c r="BW135" s="101"/>
      <c r="BX135" s="12"/>
      <c r="BY135" s="12">
        <f t="shared" si="134"/>
        <v>477491.7</v>
      </c>
      <c r="BZ135" s="12"/>
      <c r="CA135" s="12"/>
      <c r="CB135" s="12"/>
      <c r="CC135" s="12">
        <f t="shared" si="135"/>
        <v>477491.7</v>
      </c>
      <c r="CD135" s="12"/>
    </row>
    <row r="136" spans="1:82" ht="15.75">
      <c r="A136" s="13" t="s">
        <v>10</v>
      </c>
      <c r="B136" s="28"/>
      <c r="C136" s="28"/>
      <c r="D136" s="28"/>
      <c r="E136" s="12"/>
      <c r="F136" s="12"/>
      <c r="G136" s="12"/>
      <c r="H136" s="12"/>
      <c r="I136" s="12"/>
      <c r="J136" s="12"/>
      <c r="K136" s="12">
        <f t="shared" si="125"/>
        <v>0</v>
      </c>
      <c r="L136" s="12"/>
      <c r="M136" s="12">
        <v>0</v>
      </c>
      <c r="N136" s="12"/>
      <c r="O136" s="12"/>
      <c r="P136" s="12"/>
      <c r="Q136" s="12">
        <f t="shared" si="136"/>
        <v>0</v>
      </c>
      <c r="R136" s="12"/>
      <c r="S136" s="12"/>
      <c r="T136" s="12"/>
      <c r="U136" s="12"/>
      <c r="V136" s="12"/>
      <c r="W136" s="12">
        <f t="shared" si="126"/>
        <v>0</v>
      </c>
      <c r="X136" s="12"/>
      <c r="Y136" s="12">
        <v>53000</v>
      </c>
      <c r="Z136" s="12"/>
      <c r="AA136" s="12"/>
      <c r="AB136" s="12"/>
      <c r="AC136" s="12">
        <f t="shared" si="127"/>
        <v>53000</v>
      </c>
      <c r="AD136" s="12"/>
      <c r="AE136" s="12">
        <v>70850</v>
      </c>
      <c r="AF136" s="200"/>
      <c r="AG136" s="12"/>
      <c r="AH136" s="12"/>
      <c r="AI136" s="12">
        <f t="shared" si="128"/>
        <v>123850</v>
      </c>
      <c r="AJ136" s="12"/>
      <c r="AK136" s="12">
        <v>133900</v>
      </c>
      <c r="AL136" s="12"/>
      <c r="AM136" s="12"/>
      <c r="AN136" s="12"/>
      <c r="AO136" s="12">
        <f t="shared" si="129"/>
        <v>257750</v>
      </c>
      <c r="AP136" s="12"/>
      <c r="AQ136" s="12">
        <v>98000</v>
      </c>
      <c r="AR136" s="12"/>
      <c r="AS136" s="12"/>
      <c r="AT136" s="12"/>
      <c r="AU136" s="12">
        <f t="shared" si="137"/>
        <v>355750</v>
      </c>
      <c r="AV136" s="12"/>
      <c r="AW136" s="12">
        <v>15740</v>
      </c>
      <c r="AX136" s="12"/>
      <c r="AY136" s="12"/>
      <c r="AZ136" s="12"/>
      <c r="BA136" s="12">
        <f t="shared" si="130"/>
        <v>371490</v>
      </c>
      <c r="BB136" s="12"/>
      <c r="BC136" s="12"/>
      <c r="BD136" s="12"/>
      <c r="BE136" s="12"/>
      <c r="BF136" s="12"/>
      <c r="BG136" s="12">
        <f t="shared" si="131"/>
        <v>371490</v>
      </c>
      <c r="BH136" s="12"/>
      <c r="BI136" s="12"/>
      <c r="BJ136" s="12"/>
      <c r="BK136" s="12"/>
      <c r="BL136" s="12"/>
      <c r="BM136" s="12">
        <f t="shared" si="132"/>
        <v>371490</v>
      </c>
      <c r="BN136" s="12"/>
      <c r="BO136" s="12"/>
      <c r="BP136" s="12"/>
      <c r="BQ136" s="12"/>
      <c r="BR136" s="12"/>
      <c r="BS136" s="12">
        <f t="shared" si="133"/>
        <v>371490</v>
      </c>
      <c r="BT136" s="12"/>
      <c r="BU136" s="12"/>
      <c r="BV136" s="12"/>
      <c r="BW136" s="101"/>
      <c r="BX136" s="12"/>
      <c r="BY136" s="12">
        <f t="shared" si="134"/>
        <v>371490</v>
      </c>
      <c r="BZ136" s="12"/>
      <c r="CA136" s="12"/>
      <c r="CB136" s="12"/>
      <c r="CC136" s="12">
        <f t="shared" si="135"/>
        <v>371490</v>
      </c>
      <c r="CD136" s="12"/>
    </row>
    <row r="137" spans="1:82" ht="15.75">
      <c r="A137" s="13" t="s">
        <v>13</v>
      </c>
      <c r="B137" s="28"/>
      <c r="C137" s="28"/>
      <c r="D137" s="28"/>
      <c r="E137" s="12"/>
      <c r="F137" s="12"/>
      <c r="G137" s="12"/>
      <c r="H137" s="12"/>
      <c r="I137" s="12"/>
      <c r="J137" s="12"/>
      <c r="K137" s="12">
        <f t="shared" si="125"/>
        <v>0</v>
      </c>
      <c r="L137" s="12"/>
      <c r="M137" s="12">
        <v>944000</v>
      </c>
      <c r="N137" s="12"/>
      <c r="O137" s="12"/>
      <c r="P137" s="12"/>
      <c r="Q137" s="12">
        <f t="shared" si="136"/>
        <v>944000</v>
      </c>
      <c r="R137" s="12"/>
      <c r="S137" s="12"/>
      <c r="T137" s="12"/>
      <c r="U137" s="12"/>
      <c r="V137" s="12"/>
      <c r="W137" s="12">
        <f t="shared" si="126"/>
        <v>944000</v>
      </c>
      <c r="X137" s="12"/>
      <c r="Y137" s="12">
        <v>1025000</v>
      </c>
      <c r="Z137" s="12"/>
      <c r="AA137" s="12"/>
      <c r="AB137" s="12"/>
      <c r="AC137" s="12">
        <f t="shared" si="127"/>
        <v>1969000</v>
      </c>
      <c r="AD137" s="12"/>
      <c r="AE137" s="12"/>
      <c r="AF137" s="200"/>
      <c r="AG137" s="12"/>
      <c r="AH137" s="12"/>
      <c r="AI137" s="12">
        <f t="shared" si="128"/>
        <v>1969000</v>
      </c>
      <c r="AJ137" s="12"/>
      <c r="AK137" s="12">
        <v>268000</v>
      </c>
      <c r="AL137" s="12"/>
      <c r="AM137" s="12"/>
      <c r="AN137" s="12"/>
      <c r="AO137" s="12">
        <f t="shared" si="129"/>
        <v>2237000</v>
      </c>
      <c r="AP137" s="12"/>
      <c r="AQ137" s="12">
        <v>0</v>
      </c>
      <c r="AR137" s="12"/>
      <c r="AS137" s="12"/>
      <c r="AT137" s="12"/>
      <c r="AU137" s="12">
        <f t="shared" si="137"/>
        <v>2237000</v>
      </c>
      <c r="AV137" s="12"/>
      <c r="AW137" s="12">
        <v>944000</v>
      </c>
      <c r="AX137" s="12"/>
      <c r="AY137" s="12"/>
      <c r="AZ137" s="12"/>
      <c r="BA137" s="12">
        <f t="shared" si="130"/>
        <v>3181000</v>
      </c>
      <c r="BB137" s="12"/>
      <c r="BC137" s="12"/>
      <c r="BD137" s="12"/>
      <c r="BE137" s="12"/>
      <c r="BF137" s="12"/>
      <c r="BG137" s="12">
        <f t="shared" si="131"/>
        <v>3181000</v>
      </c>
      <c r="BH137" s="12"/>
      <c r="BI137" s="12"/>
      <c r="BJ137" s="12"/>
      <c r="BK137" s="12"/>
      <c r="BL137" s="12"/>
      <c r="BM137" s="12">
        <f t="shared" si="132"/>
        <v>3181000</v>
      </c>
      <c r="BN137" s="12"/>
      <c r="BO137" s="12"/>
      <c r="BP137" s="12"/>
      <c r="BQ137" s="12"/>
      <c r="BR137" s="12"/>
      <c r="BS137" s="12">
        <f t="shared" si="133"/>
        <v>3181000</v>
      </c>
      <c r="BT137" s="12"/>
      <c r="BU137" s="12"/>
      <c r="BV137" s="12"/>
      <c r="BW137" s="12"/>
      <c r="BX137" s="12"/>
      <c r="BY137" s="12">
        <f t="shared" si="134"/>
        <v>3181000</v>
      </c>
      <c r="BZ137" s="12"/>
      <c r="CA137" s="12"/>
      <c r="CB137" s="12"/>
      <c r="CC137" s="12">
        <f t="shared" si="135"/>
        <v>3181000</v>
      </c>
      <c r="CD137" s="12"/>
    </row>
    <row r="138" spans="1:82" ht="15.75">
      <c r="A138" s="13" t="s">
        <v>12</v>
      </c>
      <c r="B138" s="28"/>
      <c r="C138" s="28"/>
      <c r="D138" s="28"/>
      <c r="E138" s="12"/>
      <c r="F138" s="12"/>
      <c r="G138" s="12"/>
      <c r="H138" s="12"/>
      <c r="I138" s="12"/>
      <c r="J138" s="12"/>
      <c r="K138" s="12">
        <f t="shared" si="125"/>
        <v>0</v>
      </c>
      <c r="L138" s="12"/>
      <c r="M138" s="12">
        <v>0</v>
      </c>
      <c r="N138" s="12"/>
      <c r="O138" s="12"/>
      <c r="P138" s="12"/>
      <c r="Q138" s="12">
        <f t="shared" si="136"/>
        <v>0</v>
      </c>
      <c r="R138" s="12"/>
      <c r="S138" s="12"/>
      <c r="T138" s="12"/>
      <c r="U138" s="12"/>
      <c r="V138" s="12"/>
      <c r="W138" s="12">
        <f t="shared" si="126"/>
        <v>0</v>
      </c>
      <c r="X138" s="12"/>
      <c r="Y138" s="12"/>
      <c r="Z138" s="12"/>
      <c r="AA138" s="12"/>
      <c r="AB138" s="12"/>
      <c r="AC138" s="12">
        <f t="shared" si="127"/>
        <v>0</v>
      </c>
      <c r="AD138" s="12"/>
      <c r="AE138" s="12"/>
      <c r="AF138" s="200"/>
      <c r="AG138" s="12"/>
      <c r="AH138" s="12"/>
      <c r="AI138" s="12">
        <f t="shared" si="128"/>
        <v>0</v>
      </c>
      <c r="AJ138" s="12"/>
      <c r="AK138" s="12"/>
      <c r="AL138" s="12"/>
      <c r="AM138" s="12"/>
      <c r="AN138" s="12"/>
      <c r="AO138" s="12">
        <f t="shared" si="129"/>
        <v>0</v>
      </c>
      <c r="AP138" s="12"/>
      <c r="AQ138" s="12">
        <v>0</v>
      </c>
      <c r="AR138" s="12"/>
      <c r="AS138" s="12"/>
      <c r="AT138" s="12"/>
      <c r="AU138" s="12">
        <f t="shared" si="137"/>
        <v>0</v>
      </c>
      <c r="AV138" s="12"/>
      <c r="AW138" s="12"/>
      <c r="AX138" s="12"/>
      <c r="AY138" s="12"/>
      <c r="AZ138" s="12"/>
      <c r="BA138" s="12">
        <f t="shared" si="130"/>
        <v>0</v>
      </c>
      <c r="BB138" s="12"/>
      <c r="BC138" s="12">
        <v>0</v>
      </c>
      <c r="BD138" s="12"/>
      <c r="BE138" s="12"/>
      <c r="BF138" s="12"/>
      <c r="BG138" s="12">
        <f>SUM(BA138+BC138-BD138+BE138-BF138)</f>
        <v>0</v>
      </c>
      <c r="BH138" s="12"/>
      <c r="BI138" s="12">
        <v>0</v>
      </c>
      <c r="BJ138" s="12"/>
      <c r="BK138" s="12"/>
      <c r="BL138" s="12"/>
      <c r="BM138" s="12">
        <f t="shared" si="132"/>
        <v>0</v>
      </c>
      <c r="BN138" s="12"/>
      <c r="BO138" s="12"/>
      <c r="BP138" s="12"/>
      <c r="BQ138" s="12"/>
      <c r="BR138" s="12"/>
      <c r="BS138" s="12">
        <f t="shared" si="133"/>
        <v>0</v>
      </c>
      <c r="BT138" s="12"/>
      <c r="BU138" s="12"/>
      <c r="BV138" s="12"/>
      <c r="BW138" s="12"/>
      <c r="BX138" s="12"/>
      <c r="BY138" s="12">
        <f t="shared" si="134"/>
        <v>0</v>
      </c>
      <c r="BZ138" s="12"/>
      <c r="CA138" s="12"/>
      <c r="CB138" s="12"/>
      <c r="CC138" s="12">
        <f t="shared" si="135"/>
        <v>0</v>
      </c>
      <c r="CD138" s="12"/>
    </row>
    <row r="139" spans="1:82" ht="15.75">
      <c r="A139" s="13"/>
      <c r="B139" s="28"/>
      <c r="C139" s="28"/>
      <c r="D139" s="28"/>
      <c r="E139" s="12"/>
      <c r="F139" s="12"/>
      <c r="G139" s="12"/>
      <c r="H139" s="12"/>
      <c r="I139" s="12"/>
      <c r="J139" s="12"/>
      <c r="K139" s="12">
        <f t="shared" si="125"/>
        <v>0</v>
      </c>
      <c r="L139" s="12"/>
      <c r="M139" s="12"/>
      <c r="N139" s="12"/>
      <c r="O139" s="12"/>
      <c r="P139" s="12"/>
      <c r="Q139" s="12">
        <f t="shared" si="136"/>
        <v>0</v>
      </c>
      <c r="R139" s="12"/>
      <c r="S139" s="12"/>
      <c r="T139" s="12"/>
      <c r="U139" s="12"/>
      <c r="V139" s="12"/>
      <c r="W139" s="12">
        <f t="shared" si="126"/>
        <v>0</v>
      </c>
      <c r="X139" s="12"/>
      <c r="Y139" s="12"/>
      <c r="Z139" s="12"/>
      <c r="AA139" s="12"/>
      <c r="AB139" s="12"/>
      <c r="AC139" s="12">
        <f t="shared" si="127"/>
        <v>0</v>
      </c>
      <c r="AD139" s="12"/>
      <c r="AE139" s="12"/>
      <c r="AF139" s="200"/>
      <c r="AG139" s="12"/>
      <c r="AH139" s="12"/>
      <c r="AI139" s="12">
        <f t="shared" si="128"/>
        <v>0</v>
      </c>
      <c r="AJ139" s="12"/>
      <c r="AK139" s="12"/>
      <c r="AL139" s="12"/>
      <c r="AM139" s="12"/>
      <c r="AN139" s="12"/>
      <c r="AO139" s="12">
        <f t="shared" si="129"/>
        <v>0</v>
      </c>
      <c r="AP139" s="12"/>
      <c r="AQ139" s="12"/>
      <c r="AR139" s="12"/>
      <c r="AS139" s="12"/>
      <c r="AT139" s="12"/>
      <c r="AU139" s="12">
        <f t="shared" si="137"/>
        <v>0</v>
      </c>
      <c r="AV139" s="12"/>
      <c r="AW139" s="12"/>
      <c r="AX139" s="12"/>
      <c r="AY139" s="12"/>
      <c r="AZ139" s="12"/>
      <c r="BA139" s="12">
        <f t="shared" si="130"/>
        <v>0</v>
      </c>
      <c r="BB139" s="12"/>
      <c r="BC139" s="12"/>
      <c r="BD139" s="12"/>
      <c r="BE139" s="12"/>
      <c r="BF139" s="12"/>
      <c r="BG139" s="12">
        <f t="shared" si="131"/>
        <v>0</v>
      </c>
      <c r="BH139" s="12"/>
      <c r="BI139" s="12"/>
      <c r="BJ139" s="12"/>
      <c r="BK139" s="12"/>
      <c r="BL139" s="12"/>
      <c r="BM139" s="12">
        <f t="shared" si="132"/>
        <v>0</v>
      </c>
      <c r="BN139" s="12"/>
      <c r="BO139" s="12">
        <v>0</v>
      </c>
      <c r="BP139" s="12"/>
      <c r="BQ139" s="12"/>
      <c r="BR139" s="12"/>
      <c r="BS139" s="12">
        <f>SUM(BM139+BO139-BP139+BQ139-BR139)</f>
        <v>0</v>
      </c>
      <c r="BT139" s="12"/>
      <c r="BU139" s="12"/>
      <c r="BV139" s="12"/>
      <c r="BW139" s="12"/>
      <c r="BX139" s="12"/>
      <c r="BY139" s="12">
        <f t="shared" si="134"/>
        <v>0</v>
      </c>
      <c r="BZ139" s="12"/>
      <c r="CA139" s="12"/>
      <c r="CB139" s="12"/>
      <c r="CC139" s="12">
        <f>SUM(BW139+BY139-BZ139+CA139-CB139)</f>
        <v>0</v>
      </c>
      <c r="CD139" s="12"/>
    </row>
    <row r="140" spans="1:82" ht="15.75">
      <c r="A140" s="13"/>
      <c r="B140" s="28"/>
      <c r="C140" s="28"/>
      <c r="D140" s="2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20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</row>
    <row r="141" spans="1:82" ht="15.75">
      <c r="A141" s="13"/>
      <c r="B141" s="28"/>
      <c r="C141" s="28"/>
      <c r="D141" s="2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20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</row>
    <row r="142" spans="1:84" s="370" customFormat="1" ht="15.75">
      <c r="A142" s="423" t="s">
        <v>488</v>
      </c>
      <c r="B142" s="424"/>
      <c r="C142" s="424"/>
      <c r="D142" s="424"/>
      <c r="E142" s="368">
        <f aca="true" t="shared" si="138" ref="E142:AJ142">SUM(E143,E150:E156)</f>
        <v>0</v>
      </c>
      <c r="F142" s="368">
        <f t="shared" si="138"/>
        <v>0</v>
      </c>
      <c r="G142" s="368">
        <f t="shared" si="138"/>
        <v>0</v>
      </c>
      <c r="H142" s="368">
        <f t="shared" si="138"/>
        <v>0</v>
      </c>
      <c r="I142" s="368">
        <f t="shared" si="138"/>
        <v>0</v>
      </c>
      <c r="J142" s="368">
        <f t="shared" si="138"/>
        <v>0</v>
      </c>
      <c r="K142" s="368">
        <f t="shared" si="138"/>
        <v>0</v>
      </c>
      <c r="L142" s="368">
        <f t="shared" si="138"/>
        <v>0</v>
      </c>
      <c r="M142" s="368">
        <f t="shared" si="138"/>
        <v>112945</v>
      </c>
      <c r="N142" s="368">
        <f t="shared" si="138"/>
        <v>0</v>
      </c>
      <c r="O142" s="368">
        <f t="shared" si="138"/>
        <v>1902745</v>
      </c>
      <c r="P142" s="368">
        <f t="shared" si="138"/>
        <v>0</v>
      </c>
      <c r="Q142" s="368">
        <f>SUM(Q143,Q150:Q159)</f>
        <v>2015690</v>
      </c>
      <c r="R142" s="368">
        <f t="shared" si="138"/>
        <v>0</v>
      </c>
      <c r="S142" s="368">
        <f t="shared" si="138"/>
        <v>270645</v>
      </c>
      <c r="T142" s="368">
        <f t="shared" si="138"/>
        <v>0</v>
      </c>
      <c r="U142" s="368">
        <f t="shared" si="138"/>
        <v>735500</v>
      </c>
      <c r="V142" s="368">
        <f t="shared" si="138"/>
        <v>0</v>
      </c>
      <c r="W142" s="368">
        <f>SUM(W143,W150:W156)</f>
        <v>3021835</v>
      </c>
      <c r="X142" s="368">
        <f t="shared" si="138"/>
        <v>0</v>
      </c>
      <c r="Y142" s="368">
        <f t="shared" si="138"/>
        <v>221500</v>
      </c>
      <c r="Z142" s="368">
        <f t="shared" si="138"/>
        <v>0</v>
      </c>
      <c r="AA142" s="368">
        <f t="shared" si="138"/>
        <v>876700</v>
      </c>
      <c r="AB142" s="368">
        <f t="shared" si="138"/>
        <v>0</v>
      </c>
      <c r="AC142" s="368">
        <f t="shared" si="138"/>
        <v>4120035</v>
      </c>
      <c r="AD142" s="368">
        <f t="shared" si="138"/>
        <v>0</v>
      </c>
      <c r="AE142" s="368">
        <f t="shared" si="138"/>
        <v>197060</v>
      </c>
      <c r="AF142" s="425">
        <f t="shared" si="138"/>
        <v>0</v>
      </c>
      <c r="AG142" s="368">
        <f t="shared" si="138"/>
        <v>772316</v>
      </c>
      <c r="AH142" s="368">
        <f t="shared" si="138"/>
        <v>0</v>
      </c>
      <c r="AI142" s="368">
        <f t="shared" si="138"/>
        <v>5089411</v>
      </c>
      <c r="AJ142" s="368">
        <f t="shared" si="138"/>
        <v>0</v>
      </c>
      <c r="AK142" s="368">
        <f>SUM(AK143,AK150:AK159)</f>
        <v>5346840</v>
      </c>
      <c r="AL142" s="368">
        <f aca="true" t="shared" si="139" ref="AL142:BP142">SUM(AL143,AL150:AL156)</f>
        <v>0</v>
      </c>
      <c r="AM142" s="368">
        <f t="shared" si="139"/>
        <v>1107400</v>
      </c>
      <c r="AN142" s="368">
        <f t="shared" si="139"/>
        <v>0</v>
      </c>
      <c r="AO142" s="368">
        <f>SUM(AO143,AO150:AO161)</f>
        <v>11543651</v>
      </c>
      <c r="AP142" s="368">
        <f t="shared" si="139"/>
        <v>0</v>
      </c>
      <c r="AQ142" s="368">
        <f>SUM(AQ143,AQ150:AQ159)</f>
        <v>331962</v>
      </c>
      <c r="AR142" s="368">
        <f>SUM(AR143,AR150:AR159)</f>
        <v>0</v>
      </c>
      <c r="AS142" s="368">
        <f t="shared" si="139"/>
        <v>757400</v>
      </c>
      <c r="AT142" s="368">
        <f t="shared" si="139"/>
        <v>0</v>
      </c>
      <c r="AU142" s="368">
        <f>SUM(AU143,AU150:AU161)</f>
        <v>18069013</v>
      </c>
      <c r="AV142" s="368">
        <f aca="true" t="shared" si="140" ref="AV142:BB142">SUM(AV143,AV150:AV161)</f>
        <v>0</v>
      </c>
      <c r="AW142" s="368">
        <f>SUM(AW143,AW150:AW159)</f>
        <v>414800</v>
      </c>
      <c r="AX142" s="368">
        <f t="shared" si="140"/>
        <v>0</v>
      </c>
      <c r="AY142" s="368">
        <f t="shared" si="140"/>
        <v>926100</v>
      </c>
      <c r="AZ142" s="368">
        <f t="shared" si="140"/>
        <v>0</v>
      </c>
      <c r="BA142" s="368">
        <f>SUM(BA143,BA150:BA161)</f>
        <v>25602213</v>
      </c>
      <c r="BB142" s="368">
        <f t="shared" si="140"/>
        <v>0</v>
      </c>
      <c r="BC142" s="368">
        <f t="shared" si="139"/>
        <v>0</v>
      </c>
      <c r="BD142" s="368">
        <f t="shared" si="139"/>
        <v>0</v>
      </c>
      <c r="BE142" s="368">
        <f t="shared" si="139"/>
        <v>0</v>
      </c>
      <c r="BF142" s="368">
        <f t="shared" si="139"/>
        <v>0</v>
      </c>
      <c r="BG142" s="368">
        <f t="shared" si="139"/>
        <v>8760913</v>
      </c>
      <c r="BH142" s="368">
        <f t="shared" si="139"/>
        <v>0</v>
      </c>
      <c r="BI142" s="368">
        <f t="shared" si="139"/>
        <v>0</v>
      </c>
      <c r="BJ142" s="368">
        <f t="shared" si="139"/>
        <v>0</v>
      </c>
      <c r="BK142" s="368">
        <f t="shared" si="139"/>
        <v>0</v>
      </c>
      <c r="BL142" s="368">
        <f t="shared" si="139"/>
        <v>0</v>
      </c>
      <c r="BM142" s="368">
        <f t="shared" si="139"/>
        <v>8760913</v>
      </c>
      <c r="BN142" s="368">
        <f t="shared" si="139"/>
        <v>0</v>
      </c>
      <c r="BO142" s="368">
        <f t="shared" si="139"/>
        <v>0</v>
      </c>
      <c r="BP142" s="368">
        <f t="shared" si="139"/>
        <v>0</v>
      </c>
      <c r="BQ142" s="368">
        <f>SUM(BQ143,BQ150:BQ156)</f>
        <v>0</v>
      </c>
      <c r="BR142" s="368">
        <f>SUM(BR143,BR150:BR156)</f>
        <v>0</v>
      </c>
      <c r="BS142" s="368">
        <f>SUM(BS143,BS150:BS156)</f>
        <v>8760913</v>
      </c>
      <c r="BT142" s="368">
        <f>SUM(BT143,BT150:BT156)</f>
        <v>0</v>
      </c>
      <c r="BU142" s="368">
        <f aca="true" t="shared" si="141" ref="BU142:CD142">SUM(BU143,BU150:BU159)</f>
        <v>0</v>
      </c>
      <c r="BV142" s="368">
        <f t="shared" si="141"/>
        <v>0</v>
      </c>
      <c r="BW142" s="368">
        <f t="shared" si="141"/>
        <v>0</v>
      </c>
      <c r="BX142" s="368">
        <f t="shared" si="141"/>
        <v>0</v>
      </c>
      <c r="BY142" s="368">
        <f t="shared" si="141"/>
        <v>8760913</v>
      </c>
      <c r="BZ142" s="368">
        <f t="shared" si="141"/>
        <v>0</v>
      </c>
      <c r="CA142" s="305">
        <f t="shared" si="141"/>
        <v>0</v>
      </c>
      <c r="CB142" s="305">
        <f t="shared" si="141"/>
        <v>0</v>
      </c>
      <c r="CC142" s="368">
        <f>SUM(CC143,CC150:CC159)</f>
        <v>8760913</v>
      </c>
      <c r="CD142" s="368">
        <f t="shared" si="141"/>
        <v>0</v>
      </c>
      <c r="CE142" s="426"/>
      <c r="CF142" s="426"/>
    </row>
    <row r="143" spans="1:84" s="31" customFormat="1" ht="15.75">
      <c r="A143" s="8" t="s">
        <v>483</v>
      </c>
      <c r="B143" s="33"/>
      <c r="C143" s="33"/>
      <c r="D143" s="33"/>
      <c r="E143" s="9">
        <f>SUM(E144:E149)</f>
        <v>0</v>
      </c>
      <c r="F143" s="9">
        <f>SUM(F144:F149)</f>
        <v>0</v>
      </c>
      <c r="G143" s="9">
        <f>SUM(G144:G149)</f>
        <v>0</v>
      </c>
      <c r="H143" s="9">
        <f>SUM(H144:H149)</f>
        <v>0</v>
      </c>
      <c r="I143" s="9">
        <f>SUM(I144:I149)</f>
        <v>0</v>
      </c>
      <c r="J143" s="9">
        <f>SUM(J144:J149)</f>
        <v>0</v>
      </c>
      <c r="K143" s="9">
        <f>SUM(K144:K149)</f>
        <v>0</v>
      </c>
      <c r="L143" s="9">
        <f>SUM(L144:L149)</f>
        <v>0</v>
      </c>
      <c r="M143" s="9">
        <f>SUM(M144:M149)</f>
        <v>2085</v>
      </c>
      <c r="N143" s="9">
        <f>SUM(N144:N149)</f>
        <v>0</v>
      </c>
      <c r="O143" s="9">
        <f>SUM(O144:O149)</f>
        <v>1791885</v>
      </c>
      <c r="P143" s="9">
        <f>SUM(P144:P149)</f>
        <v>0</v>
      </c>
      <c r="Q143" s="9">
        <f>SUM(Q144:Q149)</f>
        <v>1793970</v>
      </c>
      <c r="R143" s="9">
        <f>SUM(R144:R149)</f>
        <v>0</v>
      </c>
      <c r="S143" s="9">
        <f>SUM(S144:S149)</f>
        <v>159785</v>
      </c>
      <c r="T143" s="9">
        <f>SUM(T144:T149)</f>
        <v>0</v>
      </c>
      <c r="U143" s="9">
        <f>SUM(U144:U149)</f>
        <v>735500</v>
      </c>
      <c r="V143" s="9">
        <f>SUM(V144:V149)</f>
        <v>0</v>
      </c>
      <c r="W143" s="9">
        <f>SUM(W144:W149)</f>
        <v>2689255</v>
      </c>
      <c r="X143" s="9">
        <f>SUM(X144:X149)</f>
        <v>0</v>
      </c>
      <c r="Y143" s="9">
        <f>SUM(Y144:Y149)</f>
        <v>221500</v>
      </c>
      <c r="Z143" s="9">
        <f>SUM(Z144:Z149)</f>
        <v>0</v>
      </c>
      <c r="AA143" s="9">
        <f>SUM(AA144:AA149)</f>
        <v>876700</v>
      </c>
      <c r="AB143" s="9">
        <f>SUM(AB144:AB149)</f>
        <v>0</v>
      </c>
      <c r="AC143" s="9">
        <f>SUM(AC144:AC149)</f>
        <v>3787455</v>
      </c>
      <c r="AD143" s="9">
        <f>SUM(AD144:AD149)</f>
        <v>0</v>
      </c>
      <c r="AE143" s="9">
        <f>SUM(AE144:AE149)</f>
        <v>127900</v>
      </c>
      <c r="AF143" s="201">
        <f>SUM(AF144:AF149)</f>
        <v>0</v>
      </c>
      <c r="AG143" s="9">
        <f>SUM(AG144:AG149)</f>
        <v>670823</v>
      </c>
      <c r="AH143" s="9">
        <f>SUM(AH144:AH149)</f>
        <v>0</v>
      </c>
      <c r="AI143" s="9">
        <f>SUM(AI144:AI149)</f>
        <v>4586178</v>
      </c>
      <c r="AJ143" s="9">
        <f aca="true" t="shared" si="142" ref="AJ143:AQ143">SUM(AJ144:AJ149)</f>
        <v>0</v>
      </c>
      <c r="AK143" s="9">
        <f>SUM(AK144:AK149)</f>
        <v>3080</v>
      </c>
      <c r="AL143" s="9">
        <f t="shared" si="142"/>
        <v>0</v>
      </c>
      <c r="AM143" s="9">
        <f t="shared" si="142"/>
        <v>1067400</v>
      </c>
      <c r="AN143" s="9">
        <f t="shared" si="142"/>
        <v>0</v>
      </c>
      <c r="AO143" s="9">
        <f>SUM(AO144:AO149)</f>
        <v>5656658</v>
      </c>
      <c r="AP143" s="9">
        <f t="shared" si="142"/>
        <v>0</v>
      </c>
      <c r="AQ143" s="9">
        <f t="shared" si="142"/>
        <v>170840</v>
      </c>
      <c r="AR143" s="9">
        <f>SUM(AR144:AR149)</f>
        <v>0</v>
      </c>
      <c r="AS143" s="9">
        <f>SUM(AS144:AS149)</f>
        <v>757400</v>
      </c>
      <c r="AT143" s="9">
        <f>SUM(AT144:AT149)</f>
        <v>0</v>
      </c>
      <c r="AU143" s="9">
        <f>SUM(AU144:AU149)</f>
        <v>6584898</v>
      </c>
      <c r="AV143" s="9">
        <f>SUM(AV144:AV149)</f>
        <v>0</v>
      </c>
      <c r="AW143" s="9">
        <f>SUM(AW144:AW149)</f>
        <v>1540</v>
      </c>
      <c r="AX143" s="9">
        <f>SUM(AX144:AX149)</f>
        <v>0</v>
      </c>
      <c r="AY143" s="9">
        <f>SUM(AY144:AY149)</f>
        <v>926100</v>
      </c>
      <c r="AZ143" s="9">
        <f>SUM(AZ144:AZ149)</f>
        <v>0</v>
      </c>
      <c r="BA143" s="9">
        <f>SUM(BA144:BA149)</f>
        <v>7512538</v>
      </c>
      <c r="BB143" s="9">
        <f>SUM(BB144:BB149)</f>
        <v>0</v>
      </c>
      <c r="BC143" s="9">
        <f>SUM(BC144:BC149)</f>
        <v>0</v>
      </c>
      <c r="BD143" s="9">
        <f>SUM(BD144:BD149)</f>
        <v>0</v>
      </c>
      <c r="BE143" s="9">
        <f>SUM(BE144:BE149)</f>
        <v>0</v>
      </c>
      <c r="BF143" s="9">
        <f>SUM(BF144:BF149)</f>
        <v>0</v>
      </c>
      <c r="BG143" s="9">
        <f>SUM(BG144:BG149)</f>
        <v>7512538</v>
      </c>
      <c r="BH143" s="9">
        <f>SUM(BH144:BH149)</f>
        <v>0</v>
      </c>
      <c r="BI143" s="9">
        <f>SUM(BI144:BI149)</f>
        <v>0</v>
      </c>
      <c r="BJ143" s="9">
        <f>SUM(BJ144:BJ149)</f>
        <v>0</v>
      </c>
      <c r="BK143" s="9">
        <f>SUM(BK144:BK149)</f>
        <v>0</v>
      </c>
      <c r="BL143" s="9">
        <f>SUM(BL144:BL149)</f>
        <v>0</v>
      </c>
      <c r="BM143" s="9">
        <f>SUM(BM144:BM149)</f>
        <v>7512538</v>
      </c>
      <c r="BN143" s="9">
        <f>SUM(BN144:BN149)</f>
        <v>0</v>
      </c>
      <c r="BO143" s="9">
        <f aca="true" t="shared" si="143" ref="BO143:BT143">SUM(BO144:BO149)</f>
        <v>0</v>
      </c>
      <c r="BP143" s="9">
        <f t="shared" si="143"/>
        <v>0</v>
      </c>
      <c r="BQ143" s="9">
        <f t="shared" si="143"/>
        <v>0</v>
      </c>
      <c r="BR143" s="9">
        <f t="shared" si="143"/>
        <v>0</v>
      </c>
      <c r="BS143" s="9">
        <f>SUM(BS144:BS149)</f>
        <v>7512538</v>
      </c>
      <c r="BT143" s="9">
        <f t="shared" si="143"/>
        <v>0</v>
      </c>
      <c r="BU143" s="9">
        <f>SUM(BU144:BU149)</f>
        <v>0</v>
      </c>
      <c r="BV143" s="9">
        <f aca="true" t="shared" si="144" ref="BV143:CD143">SUM(BV144:BV149)</f>
        <v>0</v>
      </c>
      <c r="BW143" s="9">
        <f>SUM(BW144:BW149)</f>
        <v>0</v>
      </c>
      <c r="BX143" s="9">
        <f t="shared" si="144"/>
        <v>0</v>
      </c>
      <c r="BY143" s="9">
        <f>SUM(BY144:BY149)</f>
        <v>7512538</v>
      </c>
      <c r="BZ143" s="9">
        <f t="shared" si="144"/>
        <v>0</v>
      </c>
      <c r="CA143" s="12">
        <f>SUM(CA144:CA149)</f>
        <v>0</v>
      </c>
      <c r="CB143" s="12">
        <f>SUM(CB144:CB149)</f>
        <v>0</v>
      </c>
      <c r="CC143" s="9">
        <f>SUM(CC144:CC149)</f>
        <v>7512538</v>
      </c>
      <c r="CD143" s="9">
        <f t="shared" si="144"/>
        <v>0</v>
      </c>
      <c r="CE143" s="96"/>
      <c r="CF143" s="96"/>
    </row>
    <row r="144" spans="1:82" ht="15.75">
      <c r="A144" s="35"/>
      <c r="B144" s="36" t="s">
        <v>318</v>
      </c>
      <c r="C144" s="36"/>
      <c r="D144" s="36"/>
      <c r="E144" s="37"/>
      <c r="F144" s="37"/>
      <c r="G144" s="37"/>
      <c r="H144" s="37"/>
      <c r="I144" s="37"/>
      <c r="J144" s="37"/>
      <c r="K144" s="37">
        <f>SUM(E144+G144-H144+I144-J144)</f>
        <v>0</v>
      </c>
      <c r="L144" s="37"/>
      <c r="M144" s="37"/>
      <c r="N144" s="37"/>
      <c r="O144" s="37">
        <f>807700+807600</f>
        <v>1615300</v>
      </c>
      <c r="P144" s="37"/>
      <c r="Q144" s="37">
        <f>SUM(K144+M144-N144+O144-P144)</f>
        <v>1615300</v>
      </c>
      <c r="R144" s="37"/>
      <c r="S144" s="37">
        <v>130700</v>
      </c>
      <c r="T144" s="37"/>
      <c r="U144" s="37">
        <v>675500</v>
      </c>
      <c r="V144" s="37"/>
      <c r="W144" s="37">
        <f aca="true" t="shared" si="145" ref="W144:W156">SUM(Q144+S144-T144+U144-V144)</f>
        <v>2421500</v>
      </c>
      <c r="X144" s="37"/>
      <c r="Y144" s="37">
        <v>129700</v>
      </c>
      <c r="Z144" s="37"/>
      <c r="AA144" s="37">
        <v>672400</v>
      </c>
      <c r="AB144" s="37"/>
      <c r="AC144" s="37">
        <f>SUM(W144+Y144-Z144+AA144-AB144)</f>
        <v>3223600</v>
      </c>
      <c r="AD144" s="37"/>
      <c r="AE144" s="37">
        <v>127900</v>
      </c>
      <c r="AF144" s="202"/>
      <c r="AG144" s="37">
        <v>669200</v>
      </c>
      <c r="AH144" s="37"/>
      <c r="AI144" s="37">
        <f>SUM(AC144+AE144-AF144+AG144-AH144)</f>
        <v>4020700</v>
      </c>
      <c r="AJ144" s="37"/>
      <c r="AK144" s="37"/>
      <c r="AL144" s="37"/>
      <c r="AM144" s="37">
        <v>793000</v>
      </c>
      <c r="AN144" s="37"/>
      <c r="AO144" s="37">
        <f aca="true" t="shared" si="146" ref="AO144:AO161">SUM(AI144+AK144-AL144+AM144-AN144)</f>
        <v>4813700</v>
      </c>
      <c r="AP144" s="37"/>
      <c r="AQ144" s="37">
        <v>126100</v>
      </c>
      <c r="AR144" s="37"/>
      <c r="AS144" s="37">
        <v>663800</v>
      </c>
      <c r="AT144" s="37"/>
      <c r="AU144" s="37">
        <f aca="true" t="shared" si="147" ref="AU144:AU161">SUM(AO144+AQ144-AR144+AS144-AT144)</f>
        <v>5603600</v>
      </c>
      <c r="AV144" s="37"/>
      <c r="AW144" s="37"/>
      <c r="AX144" s="37"/>
      <c r="AY144" s="37">
        <v>789300</v>
      </c>
      <c r="AZ144" s="37"/>
      <c r="BA144" s="37">
        <f aca="true" t="shared" si="148" ref="BA144:BA159">SUM(AU144+AW144-AX144+AY144-AZ144)</f>
        <v>6392900</v>
      </c>
      <c r="BB144" s="37"/>
      <c r="BC144" s="37"/>
      <c r="BD144" s="37"/>
      <c r="BE144" s="37"/>
      <c r="BF144" s="37"/>
      <c r="BG144" s="37">
        <f aca="true" t="shared" si="149" ref="BG144:BG156">SUM(BA144+BC144-BD144+BE144-BF144)</f>
        <v>6392900</v>
      </c>
      <c r="BH144" s="37"/>
      <c r="BI144" s="37"/>
      <c r="BJ144" s="37"/>
      <c r="BK144" s="37"/>
      <c r="BL144" s="37"/>
      <c r="BM144" s="37">
        <f>SUM(BG144+BI144-BJ144+BK144-BL144)</f>
        <v>6392900</v>
      </c>
      <c r="BN144" s="37"/>
      <c r="BO144" s="37"/>
      <c r="BP144" s="37"/>
      <c r="BQ144" s="37"/>
      <c r="BR144" s="37"/>
      <c r="BS144" s="37">
        <f aca="true" t="shared" si="150" ref="BS144:BS156">SUM(BM144+BO144-BP144+BQ144-BR144)</f>
        <v>6392900</v>
      </c>
      <c r="BT144" s="37"/>
      <c r="BU144" s="37"/>
      <c r="BV144" s="37"/>
      <c r="BW144" s="37"/>
      <c r="BX144" s="37"/>
      <c r="BY144" s="37">
        <f aca="true" t="shared" si="151" ref="BY144:BY159">SUM(BS144+BU144-BV144+BW144-BX144)</f>
        <v>6392900</v>
      </c>
      <c r="BZ144" s="37"/>
      <c r="CA144" s="37"/>
      <c r="CB144" s="37"/>
      <c r="CC144" s="14">
        <f>+BY144+CA144-BZ144-CB144</f>
        <v>6392900</v>
      </c>
      <c r="CD144" s="37"/>
    </row>
    <row r="145" spans="1:82" ht="15.75">
      <c r="A145" s="38"/>
      <c r="B145" s="39" t="s">
        <v>124</v>
      </c>
      <c r="C145" s="39"/>
      <c r="D145" s="39"/>
      <c r="E145" s="40"/>
      <c r="F145" s="40"/>
      <c r="G145" s="40"/>
      <c r="H145" s="40"/>
      <c r="I145" s="40"/>
      <c r="J145" s="40"/>
      <c r="K145" s="40">
        <f>SUM(E145+G145-H145+I145-J145)</f>
        <v>0</v>
      </c>
      <c r="L145" s="40"/>
      <c r="M145" s="40"/>
      <c r="N145" s="40"/>
      <c r="O145" s="40">
        <f>87500+87000</f>
        <v>174500</v>
      </c>
      <c r="P145" s="40"/>
      <c r="Q145" s="40">
        <f>SUM(K145+M145-N145+O145-P145)</f>
        <v>174500</v>
      </c>
      <c r="R145" s="40"/>
      <c r="S145" s="40">
        <v>27000</v>
      </c>
      <c r="T145" s="40"/>
      <c r="U145" s="40">
        <v>60000</v>
      </c>
      <c r="V145" s="40"/>
      <c r="W145" s="40">
        <f t="shared" si="145"/>
        <v>261500</v>
      </c>
      <c r="X145" s="40"/>
      <c r="Y145" s="40">
        <v>91800</v>
      </c>
      <c r="Z145" s="40"/>
      <c r="AA145" s="40">
        <v>204300</v>
      </c>
      <c r="AB145" s="40"/>
      <c r="AC145" s="40">
        <f aca="true" t="shared" si="152" ref="AC145:AC159">SUM(W145+Y145-Z145+AA145-AB145)</f>
        <v>557600</v>
      </c>
      <c r="AD145" s="40"/>
      <c r="AE145" s="40"/>
      <c r="AF145" s="203"/>
      <c r="AG145" s="40"/>
      <c r="AH145" s="40"/>
      <c r="AI145" s="40">
        <f>SUM(AC145+AE145-AF145+AG145-AH145)</f>
        <v>557600</v>
      </c>
      <c r="AJ145" s="40"/>
      <c r="AK145" s="40"/>
      <c r="AL145" s="40"/>
      <c r="AM145" s="40">
        <f>137600+136800</f>
        <v>274400</v>
      </c>
      <c r="AN145" s="40"/>
      <c r="AO145" s="40">
        <f t="shared" si="146"/>
        <v>832000</v>
      </c>
      <c r="AP145" s="40"/>
      <c r="AQ145" s="40">
        <v>43200</v>
      </c>
      <c r="AR145" s="40"/>
      <c r="AS145" s="40">
        <v>93600</v>
      </c>
      <c r="AT145" s="40"/>
      <c r="AU145" s="40">
        <f t="shared" si="147"/>
        <v>968800</v>
      </c>
      <c r="AV145" s="40"/>
      <c r="AW145" s="40"/>
      <c r="AX145" s="40"/>
      <c r="AY145" s="40">
        <v>136800</v>
      </c>
      <c r="AZ145" s="40"/>
      <c r="BA145" s="40">
        <f t="shared" si="148"/>
        <v>1105600</v>
      </c>
      <c r="BB145" s="40"/>
      <c r="BC145" s="40"/>
      <c r="BD145" s="40"/>
      <c r="BE145" s="40"/>
      <c r="BF145" s="40"/>
      <c r="BG145" s="40">
        <f t="shared" si="149"/>
        <v>1105600</v>
      </c>
      <c r="BH145" s="40"/>
      <c r="BI145" s="40"/>
      <c r="BJ145" s="40"/>
      <c r="BK145" s="40"/>
      <c r="BL145" s="40"/>
      <c r="BM145" s="40">
        <f>SUM(BG145+BI145-BJ145+BK145-BL145)</f>
        <v>1105600</v>
      </c>
      <c r="BN145" s="40"/>
      <c r="BO145" s="40"/>
      <c r="BP145" s="40"/>
      <c r="BQ145" s="40"/>
      <c r="BR145" s="40"/>
      <c r="BS145" s="40">
        <f t="shared" si="150"/>
        <v>1105600</v>
      </c>
      <c r="BT145" s="40"/>
      <c r="BU145" s="40"/>
      <c r="BV145" s="40"/>
      <c r="BW145" s="40"/>
      <c r="BX145" s="40"/>
      <c r="BY145" s="40">
        <f t="shared" si="151"/>
        <v>1105600</v>
      </c>
      <c r="BZ145" s="40"/>
      <c r="CA145" s="40"/>
      <c r="CB145" s="40"/>
      <c r="CC145" s="40">
        <f aca="true" t="shared" si="153" ref="CC145:CC159">+BY145+CA145-BZ145-CB145</f>
        <v>1105600</v>
      </c>
      <c r="CD145" s="40"/>
    </row>
    <row r="146" spans="1:82" ht="15.75">
      <c r="A146" s="71"/>
      <c r="B146" s="72" t="s">
        <v>127</v>
      </c>
      <c r="C146" s="72"/>
      <c r="D146" s="72"/>
      <c r="E146" s="56"/>
      <c r="F146" s="56"/>
      <c r="G146" s="56"/>
      <c r="H146" s="56"/>
      <c r="I146" s="56"/>
      <c r="J146" s="56"/>
      <c r="K146" s="56">
        <f>SUM(E146+G146-H146+I146-J146)</f>
        <v>0</v>
      </c>
      <c r="L146" s="56"/>
      <c r="M146" s="56">
        <f>2085</f>
        <v>2085</v>
      </c>
      <c r="N146" s="56"/>
      <c r="O146" s="56">
        <v>2085</v>
      </c>
      <c r="P146" s="56"/>
      <c r="Q146" s="56">
        <f>SUM(K146+M146-N146+O146-P146)</f>
        <v>4170</v>
      </c>
      <c r="R146" s="56"/>
      <c r="S146" s="56">
        <v>2085</v>
      </c>
      <c r="T146" s="56"/>
      <c r="U146" s="56"/>
      <c r="V146" s="56"/>
      <c r="W146" s="56">
        <f t="shared" si="145"/>
        <v>6255</v>
      </c>
      <c r="X146" s="56"/>
      <c r="Y146" s="56"/>
      <c r="Z146" s="56"/>
      <c r="AA146" s="56"/>
      <c r="AB146" s="56"/>
      <c r="AC146" s="56">
        <f t="shared" si="152"/>
        <v>6255</v>
      </c>
      <c r="AD146" s="56"/>
      <c r="AE146" s="56"/>
      <c r="AF146" s="206"/>
      <c r="AG146" s="87">
        <v>1623</v>
      </c>
      <c r="AH146" s="56"/>
      <c r="AI146" s="56">
        <f>SUM(AC146+AE146-AF146+AG146-AH146)</f>
        <v>7878</v>
      </c>
      <c r="AJ146" s="56"/>
      <c r="AK146" s="56">
        <v>3080</v>
      </c>
      <c r="AL146" s="56"/>
      <c r="AM146" s="56"/>
      <c r="AN146" s="56"/>
      <c r="AO146" s="56">
        <f t="shared" si="146"/>
        <v>10958</v>
      </c>
      <c r="AP146" s="56"/>
      <c r="AQ146" s="56">
        <v>1540</v>
      </c>
      <c r="AR146" s="56"/>
      <c r="AS146" s="56"/>
      <c r="AT146" s="56"/>
      <c r="AU146" s="56">
        <f t="shared" si="147"/>
        <v>12498</v>
      </c>
      <c r="AV146" s="56"/>
      <c r="AW146" s="56">
        <v>1540</v>
      </c>
      <c r="AX146" s="56"/>
      <c r="AY146" s="56"/>
      <c r="AZ146" s="56"/>
      <c r="BA146" s="56">
        <f t="shared" si="148"/>
        <v>14038</v>
      </c>
      <c r="BB146" s="56"/>
      <c r="BC146" s="56"/>
      <c r="BD146" s="56"/>
      <c r="BE146" s="56"/>
      <c r="BF146" s="56"/>
      <c r="BG146" s="56">
        <f t="shared" si="149"/>
        <v>14038</v>
      </c>
      <c r="BH146" s="56"/>
      <c r="BI146" s="56"/>
      <c r="BJ146" s="56"/>
      <c r="BK146" s="56"/>
      <c r="BL146" s="56"/>
      <c r="BM146" s="40">
        <f>SUM(BG146+BI146-BJ146+BK146-BL146)</f>
        <v>14038</v>
      </c>
      <c r="BN146" s="56"/>
      <c r="BO146" s="56"/>
      <c r="BP146" s="56"/>
      <c r="BQ146" s="56"/>
      <c r="BR146" s="56"/>
      <c r="BS146" s="56">
        <f t="shared" si="150"/>
        <v>14038</v>
      </c>
      <c r="BT146" s="56"/>
      <c r="BU146" s="56"/>
      <c r="BV146" s="56"/>
      <c r="BW146" s="56"/>
      <c r="BX146" s="56"/>
      <c r="BY146" s="56">
        <f t="shared" si="151"/>
        <v>14038</v>
      </c>
      <c r="BZ146" s="56"/>
      <c r="CA146" s="56"/>
      <c r="CB146" s="56"/>
      <c r="CC146" s="40">
        <f>+BY146+CA146-BZ146-CB146</f>
        <v>14038</v>
      </c>
      <c r="CD146" s="56"/>
    </row>
    <row r="147" spans="1:85" ht="15.75">
      <c r="A147" s="38"/>
      <c r="B147" s="39" t="s">
        <v>344</v>
      </c>
      <c r="C147" s="39"/>
      <c r="D147" s="39"/>
      <c r="E147" s="40"/>
      <c r="F147" s="40"/>
      <c r="G147" s="40"/>
      <c r="H147" s="40"/>
      <c r="I147" s="40"/>
      <c r="J147" s="40"/>
      <c r="K147" s="56">
        <f>SUM(E147+G147-H147+I147-J147)</f>
        <v>0</v>
      </c>
      <c r="L147" s="40"/>
      <c r="M147" s="40"/>
      <c r="N147" s="40"/>
      <c r="O147" s="40"/>
      <c r="P147" s="40"/>
      <c r="Q147" s="56">
        <f>SUM(K147+M147-N147+O147-P147)</f>
        <v>0</v>
      </c>
      <c r="R147" s="40"/>
      <c r="S147" s="40">
        <v>0</v>
      </c>
      <c r="T147" s="40"/>
      <c r="U147" s="40"/>
      <c r="V147" s="40"/>
      <c r="W147" s="56">
        <f t="shared" si="145"/>
        <v>0</v>
      </c>
      <c r="X147" s="40"/>
      <c r="Y147" s="40"/>
      <c r="Z147" s="40"/>
      <c r="AA147" s="40"/>
      <c r="AB147" s="40"/>
      <c r="AC147" s="56">
        <f t="shared" si="152"/>
        <v>0</v>
      </c>
      <c r="AD147" s="40"/>
      <c r="AE147" s="40"/>
      <c r="AF147" s="203"/>
      <c r="AG147" s="84"/>
      <c r="AH147" s="40"/>
      <c r="AI147" s="56">
        <f aca="true" t="shared" si="154" ref="AI147:AI154">SUM(AC147+AE147-AF147+AG147-AH147)</f>
        <v>0</v>
      </c>
      <c r="AJ147" s="40"/>
      <c r="AK147" s="40"/>
      <c r="AL147" s="40"/>
      <c r="AM147" s="40"/>
      <c r="AN147" s="40"/>
      <c r="AO147" s="56">
        <f t="shared" si="146"/>
        <v>0</v>
      </c>
      <c r="AP147" s="40"/>
      <c r="AQ147" s="40">
        <v>0</v>
      </c>
      <c r="AR147" s="40"/>
      <c r="AS147" s="40"/>
      <c r="AT147" s="40"/>
      <c r="AU147" s="56">
        <f t="shared" si="147"/>
        <v>0</v>
      </c>
      <c r="AV147" s="40"/>
      <c r="AW147" s="40"/>
      <c r="AX147" s="40"/>
      <c r="AY147" s="40"/>
      <c r="AZ147" s="40"/>
      <c r="BA147" s="56">
        <f t="shared" si="148"/>
        <v>0</v>
      </c>
      <c r="BB147" s="40"/>
      <c r="BC147" s="40"/>
      <c r="BD147" s="40"/>
      <c r="BE147" s="40"/>
      <c r="BF147" s="40"/>
      <c r="BG147" s="56">
        <f t="shared" si="149"/>
        <v>0</v>
      </c>
      <c r="BH147" s="40"/>
      <c r="BI147" s="40"/>
      <c r="BJ147" s="40"/>
      <c r="BK147" s="40"/>
      <c r="BL147" s="40"/>
      <c r="BM147" s="40">
        <f>SUM(BG147+BI147-BJ147+BK147-BL147)</f>
        <v>0</v>
      </c>
      <c r="BN147" s="40"/>
      <c r="BO147" s="40"/>
      <c r="BP147" s="40"/>
      <c r="BQ147" s="40"/>
      <c r="BR147" s="40"/>
      <c r="BS147" s="56">
        <f t="shared" si="150"/>
        <v>0</v>
      </c>
      <c r="BT147" s="40"/>
      <c r="BU147" s="40"/>
      <c r="BV147" s="40"/>
      <c r="BW147" s="40"/>
      <c r="BX147" s="40"/>
      <c r="BY147" s="56">
        <f t="shared" si="151"/>
        <v>0</v>
      </c>
      <c r="BZ147" s="40"/>
      <c r="CA147" s="40"/>
      <c r="CB147" s="40"/>
      <c r="CC147" s="40">
        <f t="shared" si="153"/>
        <v>0</v>
      </c>
      <c r="CD147" s="40"/>
      <c r="CG147" s="6">
        <f>6693005.09+3859500+432500</f>
        <v>10985005.09</v>
      </c>
    </row>
    <row r="148" spans="1:85" ht="15.75" hidden="1">
      <c r="A148" s="71"/>
      <c r="B148" s="72"/>
      <c r="C148" s="72"/>
      <c r="D148" s="72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206"/>
      <c r="AG148" s="145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146"/>
      <c r="CD148" s="56"/>
      <c r="CG148" s="6"/>
    </row>
    <row r="149" spans="1:82" ht="15.75" hidden="1">
      <c r="A149" s="41"/>
      <c r="B149" s="42"/>
      <c r="C149" s="42"/>
      <c r="D149" s="42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56">
        <f t="shared" si="145"/>
        <v>0</v>
      </c>
      <c r="X149" s="43"/>
      <c r="Y149" s="43"/>
      <c r="Z149" s="43"/>
      <c r="AA149" s="43"/>
      <c r="AB149" s="43"/>
      <c r="AC149" s="56">
        <f t="shared" si="152"/>
        <v>0</v>
      </c>
      <c r="AD149" s="43"/>
      <c r="AE149" s="43"/>
      <c r="AF149" s="204"/>
      <c r="AG149" s="85"/>
      <c r="AH149" s="43"/>
      <c r="AI149" s="56">
        <f t="shared" si="154"/>
        <v>0</v>
      </c>
      <c r="AJ149" s="43"/>
      <c r="AK149" s="43"/>
      <c r="AL149" s="43"/>
      <c r="AM149" s="43"/>
      <c r="AN149" s="43"/>
      <c r="AO149" s="56">
        <f t="shared" si="146"/>
        <v>0</v>
      </c>
      <c r="AP149" s="43"/>
      <c r="AQ149" s="43"/>
      <c r="AR149" s="43"/>
      <c r="AS149" s="43"/>
      <c r="AT149" s="43"/>
      <c r="AU149" s="56">
        <f t="shared" si="147"/>
        <v>0</v>
      </c>
      <c r="AV149" s="43"/>
      <c r="AW149" s="43"/>
      <c r="AX149" s="43"/>
      <c r="AY149" s="43"/>
      <c r="AZ149" s="43"/>
      <c r="BA149" s="56">
        <f t="shared" si="148"/>
        <v>0</v>
      </c>
      <c r="BB149" s="43"/>
      <c r="BC149" s="43"/>
      <c r="BD149" s="43"/>
      <c r="BE149" s="43"/>
      <c r="BF149" s="43"/>
      <c r="BG149" s="56">
        <f t="shared" si="149"/>
        <v>0</v>
      </c>
      <c r="BH149" s="43"/>
      <c r="BI149" s="43"/>
      <c r="BJ149" s="43"/>
      <c r="BK149" s="43"/>
      <c r="BL149" s="43"/>
      <c r="BM149" s="43">
        <f aca="true" t="shared" si="155" ref="BM149:BM159">SUM(BG149+BI149-BJ149+BK149-BL149)</f>
        <v>0</v>
      </c>
      <c r="BN149" s="43"/>
      <c r="BO149" s="43"/>
      <c r="BP149" s="43"/>
      <c r="BQ149" s="43"/>
      <c r="BR149" s="43"/>
      <c r="BS149" s="56">
        <f t="shared" si="150"/>
        <v>0</v>
      </c>
      <c r="BT149" s="43"/>
      <c r="BU149" s="43"/>
      <c r="BV149" s="43"/>
      <c r="BW149" s="43"/>
      <c r="BX149" s="43"/>
      <c r="BY149" s="56">
        <f t="shared" si="151"/>
        <v>0</v>
      </c>
      <c r="BZ149" s="43"/>
      <c r="CA149" s="43"/>
      <c r="CB149" s="43">
        <v>0</v>
      </c>
      <c r="CC149" s="146">
        <f t="shared" si="153"/>
        <v>0</v>
      </c>
      <c r="CD149" s="43"/>
    </row>
    <row r="150" spans="1:82" ht="15.75">
      <c r="A150" s="13" t="s">
        <v>465</v>
      </c>
      <c r="B150" s="28"/>
      <c r="C150" s="28"/>
      <c r="D150" s="28"/>
      <c r="E150" s="12"/>
      <c r="F150" s="12"/>
      <c r="G150" s="12"/>
      <c r="H150" s="12"/>
      <c r="I150" s="12"/>
      <c r="J150" s="12"/>
      <c r="K150" s="12">
        <f>SUM(E150+G150-H150+I150-J150)</f>
        <v>0</v>
      </c>
      <c r="L150" s="12"/>
      <c r="M150" s="12">
        <v>69160</v>
      </c>
      <c r="N150" s="12"/>
      <c r="O150" s="12">
        <v>69160</v>
      </c>
      <c r="P150" s="12"/>
      <c r="Q150" s="12">
        <f aca="true" t="shared" si="156" ref="Q150:Q159">SUM(K150+M150-N150+O150-P150)</f>
        <v>138320</v>
      </c>
      <c r="R150" s="12"/>
      <c r="S150" s="12">
        <v>69160</v>
      </c>
      <c r="T150" s="12"/>
      <c r="U150" s="12"/>
      <c r="V150" s="12"/>
      <c r="W150" s="12">
        <f t="shared" si="145"/>
        <v>207480</v>
      </c>
      <c r="X150" s="12"/>
      <c r="Y150" s="12"/>
      <c r="Z150" s="12"/>
      <c r="AA150" s="12"/>
      <c r="AB150" s="12"/>
      <c r="AC150" s="12">
        <f t="shared" si="152"/>
        <v>207480</v>
      </c>
      <c r="AD150" s="12"/>
      <c r="AE150" s="12">
        <v>69160</v>
      </c>
      <c r="AF150" s="200"/>
      <c r="AG150" s="12">
        <v>69160</v>
      </c>
      <c r="AH150" s="12"/>
      <c r="AI150" s="12">
        <f t="shared" si="154"/>
        <v>345800</v>
      </c>
      <c r="AJ150" s="12"/>
      <c r="AK150" s="12">
        <v>69160</v>
      </c>
      <c r="AL150" s="12"/>
      <c r="AM150" s="12"/>
      <c r="AN150" s="12"/>
      <c r="AO150" s="12">
        <f t="shared" si="146"/>
        <v>414960</v>
      </c>
      <c r="AP150" s="12"/>
      <c r="AQ150" s="12">
        <v>130322</v>
      </c>
      <c r="AR150" s="12"/>
      <c r="AS150" s="12"/>
      <c r="AT150" s="12"/>
      <c r="AU150" s="12">
        <f t="shared" si="147"/>
        <v>545282</v>
      </c>
      <c r="AV150" s="12"/>
      <c r="AW150" s="12">
        <v>84960</v>
      </c>
      <c r="AX150" s="12"/>
      <c r="AY150" s="12"/>
      <c r="AZ150" s="12"/>
      <c r="BA150" s="12">
        <f t="shared" si="148"/>
        <v>630242</v>
      </c>
      <c r="BB150" s="12"/>
      <c r="BC150" s="12"/>
      <c r="BD150" s="12"/>
      <c r="BE150" s="12"/>
      <c r="BF150" s="12"/>
      <c r="BG150" s="12">
        <f t="shared" si="149"/>
        <v>630242</v>
      </c>
      <c r="BH150" s="12"/>
      <c r="BI150" s="12"/>
      <c r="BJ150" s="12"/>
      <c r="BK150" s="12"/>
      <c r="BL150" s="12"/>
      <c r="BM150" s="12">
        <f t="shared" si="155"/>
        <v>630242</v>
      </c>
      <c r="BN150" s="12"/>
      <c r="BO150" s="12"/>
      <c r="BP150" s="12"/>
      <c r="BQ150" s="12"/>
      <c r="BR150" s="12"/>
      <c r="BS150" s="12">
        <f t="shared" si="150"/>
        <v>630242</v>
      </c>
      <c r="BT150" s="12"/>
      <c r="BU150" s="12"/>
      <c r="BV150" s="12"/>
      <c r="BW150" s="12"/>
      <c r="BX150" s="12"/>
      <c r="BY150" s="12">
        <f t="shared" si="151"/>
        <v>630242</v>
      </c>
      <c r="BZ150" s="12"/>
      <c r="CA150" s="12"/>
      <c r="CB150" s="12"/>
      <c r="CC150" s="37">
        <f t="shared" si="153"/>
        <v>630242</v>
      </c>
      <c r="CD150" s="12"/>
    </row>
    <row r="151" spans="1:82" ht="15.75">
      <c r="A151" s="13" t="s">
        <v>464</v>
      </c>
      <c r="B151" s="28"/>
      <c r="C151" s="28"/>
      <c r="D151" s="28"/>
      <c r="E151" s="12"/>
      <c r="F151" s="12"/>
      <c r="G151" s="12"/>
      <c r="H151" s="12"/>
      <c r="I151" s="12"/>
      <c r="J151" s="12"/>
      <c r="K151" s="12">
        <f>SUM(E151+G151-H151+I151-J151)</f>
        <v>0</v>
      </c>
      <c r="L151" s="12"/>
      <c r="M151" s="12">
        <v>41700</v>
      </c>
      <c r="N151" s="12"/>
      <c r="O151" s="12">
        <v>41700</v>
      </c>
      <c r="P151" s="12"/>
      <c r="Q151" s="12">
        <f t="shared" si="156"/>
        <v>83400</v>
      </c>
      <c r="R151" s="12"/>
      <c r="S151" s="12">
        <v>41700</v>
      </c>
      <c r="T151" s="12"/>
      <c r="U151" s="12"/>
      <c r="V151" s="12"/>
      <c r="W151" s="12">
        <f t="shared" si="145"/>
        <v>125100</v>
      </c>
      <c r="X151" s="12"/>
      <c r="Y151" s="12"/>
      <c r="Z151" s="12"/>
      <c r="AA151" s="12"/>
      <c r="AB151" s="12"/>
      <c r="AC151" s="12">
        <f t="shared" si="152"/>
        <v>125100</v>
      </c>
      <c r="AD151" s="12"/>
      <c r="AE151" s="12"/>
      <c r="AF151" s="200"/>
      <c r="AG151" s="12">
        <v>32333</v>
      </c>
      <c r="AH151" s="12"/>
      <c r="AI151" s="12">
        <f t="shared" si="154"/>
        <v>157433</v>
      </c>
      <c r="AJ151" s="12"/>
      <c r="AK151" s="12">
        <v>61600</v>
      </c>
      <c r="AL151" s="12"/>
      <c r="AM151" s="12"/>
      <c r="AN151" s="12"/>
      <c r="AO151" s="12">
        <f t="shared" si="146"/>
        <v>219033</v>
      </c>
      <c r="AP151" s="12"/>
      <c r="AQ151" s="12">
        <v>30800</v>
      </c>
      <c r="AR151" s="12"/>
      <c r="AS151" s="12"/>
      <c r="AT151" s="12"/>
      <c r="AU151" s="12">
        <f t="shared" si="147"/>
        <v>249833</v>
      </c>
      <c r="AV151" s="12"/>
      <c r="AW151" s="12">
        <v>30800</v>
      </c>
      <c r="AX151" s="12"/>
      <c r="AY151" s="12"/>
      <c r="AZ151" s="12"/>
      <c r="BA151" s="12">
        <f t="shared" si="148"/>
        <v>280633</v>
      </c>
      <c r="BB151" s="12"/>
      <c r="BC151" s="12"/>
      <c r="BD151" s="12"/>
      <c r="BE151" s="12"/>
      <c r="BF151" s="12"/>
      <c r="BG151" s="12">
        <f t="shared" si="149"/>
        <v>280633</v>
      </c>
      <c r="BH151" s="12"/>
      <c r="BI151" s="12"/>
      <c r="BJ151" s="12"/>
      <c r="BK151" s="12"/>
      <c r="BL151" s="12"/>
      <c r="BM151" s="12">
        <f t="shared" si="155"/>
        <v>280633</v>
      </c>
      <c r="BN151" s="12"/>
      <c r="BO151" s="12"/>
      <c r="BP151" s="12"/>
      <c r="BQ151" s="12"/>
      <c r="BR151" s="12"/>
      <c r="BS151" s="12">
        <f t="shared" si="150"/>
        <v>280633</v>
      </c>
      <c r="BT151" s="12"/>
      <c r="BU151" s="12"/>
      <c r="BV151" s="12"/>
      <c r="BW151" s="12"/>
      <c r="BX151" s="12"/>
      <c r="BY151" s="12">
        <f t="shared" si="151"/>
        <v>280633</v>
      </c>
      <c r="BZ151" s="12"/>
      <c r="CA151" s="12"/>
      <c r="CB151" s="12"/>
      <c r="CC151" s="37">
        <f t="shared" si="153"/>
        <v>280633</v>
      </c>
      <c r="CD151" s="12"/>
    </row>
    <row r="152" spans="1:82" ht="15.75">
      <c r="A152" s="13" t="s">
        <v>338</v>
      </c>
      <c r="B152" s="28"/>
      <c r="C152" s="28"/>
      <c r="D152" s="28"/>
      <c r="E152" s="12"/>
      <c r="F152" s="12"/>
      <c r="G152" s="12"/>
      <c r="H152" s="12"/>
      <c r="I152" s="12"/>
      <c r="J152" s="12"/>
      <c r="K152" s="12">
        <f>SUM(E152+G152-H152+I152-J152)</f>
        <v>0</v>
      </c>
      <c r="L152" s="12"/>
      <c r="M152" s="12"/>
      <c r="N152" s="12"/>
      <c r="O152" s="12"/>
      <c r="P152" s="12"/>
      <c r="Q152" s="12">
        <f t="shared" si="156"/>
        <v>0</v>
      </c>
      <c r="R152" s="12"/>
      <c r="S152" s="12"/>
      <c r="T152" s="12"/>
      <c r="U152" s="12"/>
      <c r="V152" s="12"/>
      <c r="W152" s="12">
        <f t="shared" si="145"/>
        <v>0</v>
      </c>
      <c r="X152" s="12"/>
      <c r="Y152" s="12"/>
      <c r="Z152" s="12"/>
      <c r="AA152" s="12"/>
      <c r="AB152" s="12"/>
      <c r="AC152" s="12">
        <f t="shared" si="152"/>
        <v>0</v>
      </c>
      <c r="AD152" s="12"/>
      <c r="AE152" s="12"/>
      <c r="AF152" s="200"/>
      <c r="AG152" s="12"/>
      <c r="AH152" s="12"/>
      <c r="AI152" s="12">
        <f t="shared" si="154"/>
        <v>0</v>
      </c>
      <c r="AJ152" s="12"/>
      <c r="AK152" s="12"/>
      <c r="AL152" s="12"/>
      <c r="AM152" s="12">
        <v>40000</v>
      </c>
      <c r="AN152" s="12"/>
      <c r="AO152" s="12">
        <f t="shared" si="146"/>
        <v>40000</v>
      </c>
      <c r="AP152" s="12"/>
      <c r="AQ152" s="12"/>
      <c r="AR152" s="12"/>
      <c r="AS152" s="12"/>
      <c r="AT152" s="12"/>
      <c r="AU152" s="12">
        <f t="shared" si="147"/>
        <v>40000</v>
      </c>
      <c r="AV152" s="12"/>
      <c r="AW152" s="12"/>
      <c r="AX152" s="12"/>
      <c r="AY152" s="12"/>
      <c r="AZ152" s="12"/>
      <c r="BA152" s="12">
        <f t="shared" si="148"/>
        <v>40000</v>
      </c>
      <c r="BB152" s="12"/>
      <c r="BC152" s="12"/>
      <c r="BD152" s="12"/>
      <c r="BE152" s="12"/>
      <c r="BF152" s="12"/>
      <c r="BG152" s="12">
        <f t="shared" si="149"/>
        <v>40000</v>
      </c>
      <c r="BH152" s="12"/>
      <c r="BI152" s="12"/>
      <c r="BJ152" s="12"/>
      <c r="BK152" s="12"/>
      <c r="BL152" s="12"/>
      <c r="BM152" s="12">
        <f t="shared" si="155"/>
        <v>40000</v>
      </c>
      <c r="BN152" s="12"/>
      <c r="BO152" s="12"/>
      <c r="BP152" s="12"/>
      <c r="BQ152" s="12"/>
      <c r="BR152" s="12"/>
      <c r="BS152" s="12">
        <f t="shared" si="150"/>
        <v>40000</v>
      </c>
      <c r="BT152" s="12"/>
      <c r="BU152" s="12"/>
      <c r="BV152" s="12"/>
      <c r="BW152" s="12"/>
      <c r="BX152" s="12"/>
      <c r="BY152" s="12">
        <f t="shared" si="151"/>
        <v>40000</v>
      </c>
      <c r="BZ152" s="12"/>
      <c r="CA152" s="12"/>
      <c r="CB152" s="12"/>
      <c r="CC152" s="37">
        <f t="shared" si="153"/>
        <v>40000</v>
      </c>
      <c r="CD152" s="12"/>
    </row>
    <row r="153" spans="1:82" ht="15.75">
      <c r="A153" s="30" t="s">
        <v>589</v>
      </c>
      <c r="B153" s="28"/>
      <c r="C153" s="28"/>
      <c r="D153" s="28"/>
      <c r="E153" s="12"/>
      <c r="F153" s="12"/>
      <c r="G153" s="12"/>
      <c r="H153" s="12"/>
      <c r="I153" s="12"/>
      <c r="J153" s="12"/>
      <c r="K153" s="12">
        <f>SUM(E153+G153-H153+I153-J153)</f>
        <v>0</v>
      </c>
      <c r="L153" s="12"/>
      <c r="M153" s="12"/>
      <c r="N153" s="12"/>
      <c r="O153" s="12"/>
      <c r="P153" s="12"/>
      <c r="Q153" s="12">
        <f t="shared" si="156"/>
        <v>0</v>
      </c>
      <c r="R153" s="12"/>
      <c r="S153" s="12"/>
      <c r="T153" s="12"/>
      <c r="U153" s="12"/>
      <c r="V153" s="12"/>
      <c r="W153" s="12">
        <f t="shared" si="145"/>
        <v>0</v>
      </c>
      <c r="X153" s="12"/>
      <c r="Y153" s="12"/>
      <c r="Z153" s="12"/>
      <c r="AA153" s="12"/>
      <c r="AB153" s="12"/>
      <c r="AC153" s="12">
        <f t="shared" si="152"/>
        <v>0</v>
      </c>
      <c r="AD153" s="12"/>
      <c r="AE153" s="12"/>
      <c r="AF153" s="200"/>
      <c r="AG153" s="12"/>
      <c r="AH153" s="12"/>
      <c r="AI153" s="12">
        <f t="shared" si="154"/>
        <v>0</v>
      </c>
      <c r="AJ153" s="12"/>
      <c r="AK153" s="12"/>
      <c r="AL153" s="12"/>
      <c r="AM153" s="12"/>
      <c r="AN153" s="12"/>
      <c r="AO153" s="12">
        <f t="shared" si="146"/>
        <v>0</v>
      </c>
      <c r="AP153" s="12"/>
      <c r="AQ153" s="12"/>
      <c r="AR153" s="12"/>
      <c r="AS153" s="12"/>
      <c r="AT153" s="12"/>
      <c r="AU153" s="12">
        <f t="shared" si="147"/>
        <v>0</v>
      </c>
      <c r="AV153" s="12"/>
      <c r="AW153" s="12">
        <v>297500</v>
      </c>
      <c r="AX153" s="12">
        <v>0</v>
      </c>
      <c r="AY153" s="12"/>
      <c r="AZ153" s="12"/>
      <c r="BA153" s="12">
        <f t="shared" si="148"/>
        <v>297500</v>
      </c>
      <c r="BB153" s="12"/>
      <c r="BC153" s="12"/>
      <c r="BD153" s="12"/>
      <c r="BE153" s="12"/>
      <c r="BF153" s="12"/>
      <c r="BG153" s="12">
        <f t="shared" si="149"/>
        <v>297500</v>
      </c>
      <c r="BH153" s="12"/>
      <c r="BI153" s="12"/>
      <c r="BJ153" s="12"/>
      <c r="BK153" s="12"/>
      <c r="BL153" s="12"/>
      <c r="BM153" s="12">
        <f t="shared" si="155"/>
        <v>297500</v>
      </c>
      <c r="BN153" s="12"/>
      <c r="BO153" s="12"/>
      <c r="BP153" s="12"/>
      <c r="BQ153" s="12"/>
      <c r="BR153" s="12"/>
      <c r="BS153" s="12">
        <f t="shared" si="150"/>
        <v>297500</v>
      </c>
      <c r="BT153" s="12"/>
      <c r="BU153" s="12"/>
      <c r="BV153" s="12"/>
      <c r="BW153" s="12"/>
      <c r="BX153" s="12"/>
      <c r="BY153" s="12">
        <f t="shared" si="151"/>
        <v>297500</v>
      </c>
      <c r="BZ153" s="12"/>
      <c r="CA153" s="12"/>
      <c r="CB153" s="12"/>
      <c r="CC153" s="37">
        <f t="shared" si="153"/>
        <v>297500</v>
      </c>
      <c r="CD153" s="12"/>
    </row>
    <row r="154" spans="1:82" ht="15.75">
      <c r="A154" s="30" t="s">
        <v>307</v>
      </c>
      <c r="B154" s="28"/>
      <c r="C154" s="28"/>
      <c r="D154" s="28"/>
      <c r="E154" s="12"/>
      <c r="F154" s="12"/>
      <c r="G154" s="12"/>
      <c r="H154" s="12"/>
      <c r="I154" s="12"/>
      <c r="J154" s="12"/>
      <c r="K154" s="12">
        <f>SUM(E154+G154-H154+I154-J154)</f>
        <v>0</v>
      </c>
      <c r="L154" s="12"/>
      <c r="M154" s="12"/>
      <c r="N154" s="12"/>
      <c r="O154" s="12"/>
      <c r="P154" s="12"/>
      <c r="Q154" s="12">
        <f t="shared" si="156"/>
        <v>0</v>
      </c>
      <c r="R154" s="12"/>
      <c r="S154" s="12"/>
      <c r="T154" s="12"/>
      <c r="U154" s="12"/>
      <c r="V154" s="12"/>
      <c r="W154" s="12">
        <f t="shared" si="145"/>
        <v>0</v>
      </c>
      <c r="X154" s="12"/>
      <c r="Y154" s="12"/>
      <c r="Z154" s="12"/>
      <c r="AA154" s="12"/>
      <c r="AB154" s="12"/>
      <c r="AC154" s="12">
        <f t="shared" si="152"/>
        <v>0</v>
      </c>
      <c r="AD154" s="12"/>
      <c r="AE154" s="12"/>
      <c r="AF154" s="200"/>
      <c r="AG154" s="12"/>
      <c r="AH154" s="12"/>
      <c r="AI154" s="12">
        <f t="shared" si="154"/>
        <v>0</v>
      </c>
      <c r="AJ154" s="12"/>
      <c r="AK154" s="12"/>
      <c r="AL154" s="12"/>
      <c r="AM154" s="12"/>
      <c r="AN154" s="12"/>
      <c r="AO154" s="12">
        <f t="shared" si="146"/>
        <v>0</v>
      </c>
      <c r="AP154" s="12"/>
      <c r="AQ154" s="12"/>
      <c r="AR154" s="12"/>
      <c r="AS154" s="12"/>
      <c r="AT154" s="12"/>
      <c r="AU154" s="12">
        <f t="shared" si="147"/>
        <v>0</v>
      </c>
      <c r="AV154" s="12"/>
      <c r="AW154" s="12"/>
      <c r="AX154" s="12"/>
      <c r="AY154" s="12"/>
      <c r="AZ154" s="12"/>
      <c r="BA154" s="12">
        <f t="shared" si="148"/>
        <v>0</v>
      </c>
      <c r="BB154" s="12"/>
      <c r="BC154" s="12"/>
      <c r="BD154" s="12"/>
      <c r="BE154" s="12"/>
      <c r="BF154" s="12"/>
      <c r="BG154" s="12">
        <f t="shared" si="149"/>
        <v>0</v>
      </c>
      <c r="BH154" s="12"/>
      <c r="BI154" s="12"/>
      <c r="BJ154" s="12"/>
      <c r="BK154" s="12"/>
      <c r="BL154" s="12"/>
      <c r="BM154" s="12">
        <f t="shared" si="155"/>
        <v>0</v>
      </c>
      <c r="BN154" s="12"/>
      <c r="BO154" s="12"/>
      <c r="BP154" s="12"/>
      <c r="BQ154" s="12"/>
      <c r="BR154" s="12"/>
      <c r="BS154" s="12">
        <f t="shared" si="150"/>
        <v>0</v>
      </c>
      <c r="BT154" s="12"/>
      <c r="BU154" s="12"/>
      <c r="BV154" s="12"/>
      <c r="BW154" s="12"/>
      <c r="BX154" s="12"/>
      <c r="BY154" s="12">
        <f t="shared" si="151"/>
        <v>0</v>
      </c>
      <c r="BZ154" s="12"/>
      <c r="CA154" s="12"/>
      <c r="CB154" s="12"/>
      <c r="CC154" s="37">
        <f t="shared" si="153"/>
        <v>0</v>
      </c>
      <c r="CD154" s="12"/>
    </row>
    <row r="155" spans="1:82" ht="15.75">
      <c r="A155" s="30" t="s">
        <v>345</v>
      </c>
      <c r="B155" s="28"/>
      <c r="C155" s="28"/>
      <c r="D155" s="28"/>
      <c r="E155" s="12"/>
      <c r="F155" s="12"/>
      <c r="G155" s="12"/>
      <c r="H155" s="12"/>
      <c r="I155" s="12"/>
      <c r="J155" s="12"/>
      <c r="K155" s="12">
        <f>SUM(E155+G155-H155+I155-J155)</f>
        <v>0</v>
      </c>
      <c r="L155" s="12"/>
      <c r="M155" s="12"/>
      <c r="N155" s="12"/>
      <c r="O155" s="12"/>
      <c r="P155" s="12"/>
      <c r="Q155" s="12">
        <f t="shared" si="156"/>
        <v>0</v>
      </c>
      <c r="R155" s="12"/>
      <c r="S155" s="12"/>
      <c r="T155" s="12"/>
      <c r="U155" s="12"/>
      <c r="V155" s="12"/>
      <c r="W155" s="12">
        <f t="shared" si="145"/>
        <v>0</v>
      </c>
      <c r="X155" s="12"/>
      <c r="Y155" s="12"/>
      <c r="Z155" s="12"/>
      <c r="AA155" s="12"/>
      <c r="AB155" s="12"/>
      <c r="AC155" s="12">
        <f t="shared" si="152"/>
        <v>0</v>
      </c>
      <c r="AD155" s="12"/>
      <c r="AE155" s="12"/>
      <c r="AF155" s="200"/>
      <c r="AG155" s="12"/>
      <c r="AH155" s="12"/>
      <c r="AI155" s="12">
        <f>SUM(AC155+AE155-AF155+AG155-AH155)</f>
        <v>0</v>
      </c>
      <c r="AJ155" s="12"/>
      <c r="AK155" s="12"/>
      <c r="AL155" s="12"/>
      <c r="AM155" s="12"/>
      <c r="AN155" s="12"/>
      <c r="AO155" s="12">
        <f t="shared" si="146"/>
        <v>0</v>
      </c>
      <c r="AP155" s="12"/>
      <c r="AQ155" s="12"/>
      <c r="AR155" s="12"/>
      <c r="AS155" s="12"/>
      <c r="AT155" s="12"/>
      <c r="AU155" s="12">
        <f t="shared" si="147"/>
        <v>0</v>
      </c>
      <c r="AV155" s="12"/>
      <c r="AW155" s="12"/>
      <c r="AX155" s="12"/>
      <c r="AY155" s="12"/>
      <c r="AZ155" s="12"/>
      <c r="BA155" s="12">
        <f t="shared" si="148"/>
        <v>0</v>
      </c>
      <c r="BB155" s="12"/>
      <c r="BC155" s="12"/>
      <c r="BD155" s="12"/>
      <c r="BE155" s="12"/>
      <c r="BF155" s="12"/>
      <c r="BG155" s="12">
        <f t="shared" si="149"/>
        <v>0</v>
      </c>
      <c r="BH155" s="12"/>
      <c r="BI155" s="12"/>
      <c r="BJ155" s="12"/>
      <c r="BK155" s="12"/>
      <c r="BL155" s="12"/>
      <c r="BM155" s="12">
        <f t="shared" si="155"/>
        <v>0</v>
      </c>
      <c r="BN155" s="12"/>
      <c r="BO155" s="12"/>
      <c r="BP155" s="12"/>
      <c r="BQ155" s="12"/>
      <c r="BR155" s="12"/>
      <c r="BS155" s="12">
        <f t="shared" si="150"/>
        <v>0</v>
      </c>
      <c r="BT155" s="12"/>
      <c r="BU155" s="12"/>
      <c r="BV155" s="12"/>
      <c r="BW155" s="12"/>
      <c r="BX155" s="12"/>
      <c r="BY155" s="12">
        <f t="shared" si="151"/>
        <v>0</v>
      </c>
      <c r="BZ155" s="12"/>
      <c r="CA155" s="12"/>
      <c r="CB155" s="12"/>
      <c r="CC155" s="37">
        <f t="shared" si="153"/>
        <v>0</v>
      </c>
      <c r="CD155" s="12"/>
    </row>
    <row r="156" spans="1:82" ht="15.75">
      <c r="A156" s="30" t="s">
        <v>350</v>
      </c>
      <c r="B156" s="28"/>
      <c r="C156" s="28"/>
      <c r="D156" s="28"/>
      <c r="E156" s="12"/>
      <c r="F156" s="12"/>
      <c r="G156" s="12"/>
      <c r="H156" s="12"/>
      <c r="I156" s="12"/>
      <c r="J156" s="12"/>
      <c r="K156" s="12">
        <f>SUM(E156+G156-H156+I156-J156)</f>
        <v>0</v>
      </c>
      <c r="L156" s="12"/>
      <c r="M156" s="12"/>
      <c r="N156" s="12"/>
      <c r="O156" s="12"/>
      <c r="P156" s="12"/>
      <c r="Q156" s="12">
        <f t="shared" si="156"/>
        <v>0</v>
      </c>
      <c r="R156" s="12"/>
      <c r="S156" s="12"/>
      <c r="T156" s="12"/>
      <c r="U156" s="12"/>
      <c r="V156" s="12"/>
      <c r="W156" s="12">
        <f t="shared" si="145"/>
        <v>0</v>
      </c>
      <c r="X156" s="12"/>
      <c r="Y156" s="12"/>
      <c r="Z156" s="12"/>
      <c r="AA156" s="12"/>
      <c r="AB156" s="12"/>
      <c r="AC156" s="12">
        <f t="shared" si="152"/>
        <v>0</v>
      </c>
      <c r="AD156" s="12"/>
      <c r="AE156" s="12"/>
      <c r="AF156" s="200"/>
      <c r="AG156" s="12"/>
      <c r="AH156" s="12"/>
      <c r="AI156" s="12">
        <f>SUM(AC156+AE156-AF156+AG156-AH156)</f>
        <v>0</v>
      </c>
      <c r="AJ156" s="12"/>
      <c r="AK156" s="12"/>
      <c r="AL156" s="12"/>
      <c r="AM156" s="12"/>
      <c r="AN156" s="12"/>
      <c r="AO156" s="12">
        <f t="shared" si="146"/>
        <v>0</v>
      </c>
      <c r="AP156" s="12"/>
      <c r="AQ156" s="12"/>
      <c r="AR156" s="12"/>
      <c r="AS156" s="12"/>
      <c r="AT156" s="12"/>
      <c r="AU156" s="12">
        <f t="shared" si="147"/>
        <v>0</v>
      </c>
      <c r="AV156" s="12"/>
      <c r="AW156" s="12"/>
      <c r="AX156" s="12"/>
      <c r="AY156" s="12"/>
      <c r="AZ156" s="12"/>
      <c r="BA156" s="12">
        <f t="shared" si="148"/>
        <v>0</v>
      </c>
      <c r="BB156" s="12"/>
      <c r="BC156" s="12"/>
      <c r="BD156" s="12"/>
      <c r="BE156" s="12"/>
      <c r="BF156" s="12"/>
      <c r="BG156" s="12">
        <f t="shared" si="149"/>
        <v>0</v>
      </c>
      <c r="BH156" s="12"/>
      <c r="BI156" s="12"/>
      <c r="BJ156" s="12"/>
      <c r="BK156" s="12"/>
      <c r="BL156" s="12"/>
      <c r="BM156" s="12">
        <f t="shared" si="155"/>
        <v>0</v>
      </c>
      <c r="BN156" s="12"/>
      <c r="BO156" s="12"/>
      <c r="BP156" s="12"/>
      <c r="BQ156" s="12"/>
      <c r="BR156" s="12"/>
      <c r="BS156" s="12">
        <f t="shared" si="150"/>
        <v>0</v>
      </c>
      <c r="BT156" s="12"/>
      <c r="BU156" s="12"/>
      <c r="BV156" s="12"/>
      <c r="BW156" s="12"/>
      <c r="BX156" s="12"/>
      <c r="BY156" s="12">
        <f t="shared" si="151"/>
        <v>0</v>
      </c>
      <c r="BZ156" s="12"/>
      <c r="CA156" s="12"/>
      <c r="CB156" s="12"/>
      <c r="CC156" s="37">
        <f t="shared" si="153"/>
        <v>0</v>
      </c>
      <c r="CD156" s="12"/>
    </row>
    <row r="157" spans="1:82" ht="15.75">
      <c r="A157" s="448" t="s">
        <v>565</v>
      </c>
      <c r="B157" s="449"/>
      <c r="C157" s="449"/>
      <c r="D157" s="450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200"/>
      <c r="AG157" s="12"/>
      <c r="AH157" s="12"/>
      <c r="AI157" s="12"/>
      <c r="AJ157" s="12"/>
      <c r="AK157" s="12">
        <v>4110000</v>
      </c>
      <c r="AL157" s="12"/>
      <c r="AM157" s="12"/>
      <c r="AN157" s="12"/>
      <c r="AO157" s="12">
        <f t="shared" si="146"/>
        <v>4110000</v>
      </c>
      <c r="AP157" s="12"/>
      <c r="AQ157" s="12"/>
      <c r="AR157" s="12"/>
      <c r="AS157" s="12"/>
      <c r="AT157" s="12"/>
      <c r="AU157" s="12">
        <f t="shared" si="147"/>
        <v>4110000</v>
      </c>
      <c r="AV157" s="12"/>
      <c r="AW157" s="12"/>
      <c r="AX157" s="12"/>
      <c r="AY157" s="12"/>
      <c r="AZ157" s="12"/>
      <c r="BA157" s="12">
        <f t="shared" si="148"/>
        <v>4110000</v>
      </c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4"/>
      <c r="CD157" s="12"/>
    </row>
    <row r="158" spans="1:82" ht="15.75">
      <c r="A158" s="448" t="s">
        <v>566</v>
      </c>
      <c r="B158" s="449"/>
      <c r="C158" s="449"/>
      <c r="D158" s="450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200"/>
      <c r="AG158" s="12"/>
      <c r="AH158" s="12"/>
      <c r="AI158" s="12"/>
      <c r="AJ158" s="12"/>
      <c r="AK158" s="12">
        <v>1103000</v>
      </c>
      <c r="AL158" s="12"/>
      <c r="AM158" s="12"/>
      <c r="AN158" s="12"/>
      <c r="AO158" s="12">
        <f t="shared" si="146"/>
        <v>1103000</v>
      </c>
      <c r="AP158" s="12"/>
      <c r="AQ158" s="12"/>
      <c r="AR158" s="12"/>
      <c r="AS158" s="12"/>
      <c r="AT158" s="12"/>
      <c r="AU158" s="12">
        <f t="shared" si="147"/>
        <v>1103000</v>
      </c>
      <c r="AV158" s="12"/>
      <c r="AW158" s="12"/>
      <c r="AX158" s="12"/>
      <c r="AY158" s="12"/>
      <c r="AZ158" s="12"/>
      <c r="BA158" s="12">
        <f t="shared" si="148"/>
        <v>1103000</v>
      </c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4"/>
      <c r="CD158" s="12"/>
    </row>
    <row r="159" spans="1:82" ht="15.75">
      <c r="A159" s="448" t="s">
        <v>455</v>
      </c>
      <c r="B159" s="449"/>
      <c r="C159" s="449"/>
      <c r="D159" s="450"/>
      <c r="E159" s="12"/>
      <c r="F159" s="12"/>
      <c r="G159" s="12"/>
      <c r="H159" s="12"/>
      <c r="I159" s="12"/>
      <c r="J159" s="12"/>
      <c r="K159" s="12">
        <f>SUM(E159+G159-H159+I159-J159)</f>
        <v>0</v>
      </c>
      <c r="L159" s="12"/>
      <c r="M159" s="12"/>
      <c r="N159" s="12"/>
      <c r="O159" s="12"/>
      <c r="P159" s="12"/>
      <c r="Q159" s="12">
        <f t="shared" si="156"/>
        <v>0</v>
      </c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>
        <f t="shared" si="152"/>
        <v>0</v>
      </c>
      <c r="AD159" s="12"/>
      <c r="AE159" s="12"/>
      <c r="AF159" s="200"/>
      <c r="AG159" s="12"/>
      <c r="AH159" s="12"/>
      <c r="AI159" s="12">
        <f>SUM(AC159+AE159-AF159+AG159-AH159)</f>
        <v>0</v>
      </c>
      <c r="AJ159" s="12"/>
      <c r="AK159" s="12"/>
      <c r="AL159" s="12"/>
      <c r="AM159" s="12"/>
      <c r="AN159" s="12"/>
      <c r="AO159" s="12">
        <f t="shared" si="146"/>
        <v>0</v>
      </c>
      <c r="AP159" s="12"/>
      <c r="AQ159" s="12"/>
      <c r="AR159" s="12"/>
      <c r="AS159" s="12"/>
      <c r="AT159" s="12"/>
      <c r="AU159" s="12">
        <f t="shared" si="147"/>
        <v>0</v>
      </c>
      <c r="AV159" s="12"/>
      <c r="AW159" s="12"/>
      <c r="AX159" s="12"/>
      <c r="AY159" s="12"/>
      <c r="AZ159" s="12"/>
      <c r="BA159" s="12">
        <f t="shared" si="148"/>
        <v>0</v>
      </c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>
        <f t="shared" si="155"/>
        <v>0</v>
      </c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>
        <f t="shared" si="151"/>
        <v>0</v>
      </c>
      <c r="BZ159" s="12"/>
      <c r="CA159" s="12"/>
      <c r="CB159" s="12"/>
      <c r="CC159" s="14">
        <f t="shared" si="153"/>
        <v>0</v>
      </c>
      <c r="CD159" s="12"/>
    </row>
    <row r="160" spans="1:82" ht="15.75">
      <c r="A160" s="394" t="s">
        <v>574</v>
      </c>
      <c r="B160" s="309"/>
      <c r="C160" s="309"/>
      <c r="D160" s="30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200"/>
      <c r="AG160" s="12"/>
      <c r="AH160" s="12"/>
      <c r="AI160" s="12"/>
      <c r="AJ160" s="12"/>
      <c r="AK160" s="12"/>
      <c r="AL160" s="12"/>
      <c r="AM160" s="12"/>
      <c r="AN160" s="12"/>
      <c r="AO160" s="12">
        <f t="shared" si="146"/>
        <v>0</v>
      </c>
      <c r="AP160" s="12"/>
      <c r="AQ160" s="12">
        <v>5436000</v>
      </c>
      <c r="AR160" s="12"/>
      <c r="AS160" s="12"/>
      <c r="AT160" s="12"/>
      <c r="AU160" s="12">
        <f t="shared" si="147"/>
        <v>5436000</v>
      </c>
      <c r="AV160" s="12"/>
      <c r="AW160" s="12">
        <v>1187000</v>
      </c>
      <c r="AX160" s="12"/>
      <c r="AY160" s="12"/>
      <c r="AZ160" s="12"/>
      <c r="BA160" s="12">
        <f>SUM(AU160+AW160-AX160+AY160-AZ160)</f>
        <v>6623000</v>
      </c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4"/>
      <c r="CD160" s="12"/>
    </row>
    <row r="161" spans="1:82" ht="15.75">
      <c r="A161" s="409" t="s">
        <v>590</v>
      </c>
      <c r="B161" s="309"/>
      <c r="C161" s="309"/>
      <c r="D161" s="30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200"/>
      <c r="AG161" s="12"/>
      <c r="AH161" s="12"/>
      <c r="AI161" s="12"/>
      <c r="AJ161" s="12"/>
      <c r="AK161" s="12"/>
      <c r="AL161" s="12"/>
      <c r="AM161" s="12"/>
      <c r="AN161" s="12"/>
      <c r="AO161" s="12">
        <f t="shared" si="146"/>
        <v>0</v>
      </c>
      <c r="AP161" s="12"/>
      <c r="AQ161" s="12"/>
      <c r="AR161" s="12"/>
      <c r="AS161" s="12"/>
      <c r="AT161" s="12"/>
      <c r="AU161" s="12">
        <f t="shared" si="147"/>
        <v>0</v>
      </c>
      <c r="AV161" s="12"/>
      <c r="AW161" s="12">
        <v>5005300</v>
      </c>
      <c r="AX161" s="12"/>
      <c r="AY161" s="12"/>
      <c r="AZ161" s="12"/>
      <c r="BA161" s="12">
        <f>SUM(AU161+AW161-AX161+AY161-AZ161)</f>
        <v>5005300</v>
      </c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4"/>
      <c r="CD161" s="12"/>
    </row>
    <row r="162" spans="1:84" s="168" customFormat="1" ht="15.75">
      <c r="A162" s="439" t="s">
        <v>31</v>
      </c>
      <c r="B162" s="440"/>
      <c r="C162" s="440"/>
      <c r="D162" s="440"/>
      <c r="E162" s="165">
        <f>SUM(E117,E142)</f>
        <v>0</v>
      </c>
      <c r="F162" s="165">
        <f aca="true" t="shared" si="157" ref="F162:BQ162">SUM(F117,F142)</f>
        <v>0</v>
      </c>
      <c r="G162" s="165">
        <f t="shared" si="157"/>
        <v>806919.15</v>
      </c>
      <c r="H162" s="165">
        <f t="shared" si="157"/>
        <v>0</v>
      </c>
      <c r="I162" s="165">
        <f t="shared" si="157"/>
        <v>5000</v>
      </c>
      <c r="J162" s="165">
        <f t="shared" si="157"/>
        <v>0</v>
      </c>
      <c r="K162" s="165">
        <f t="shared" si="157"/>
        <v>811919.15</v>
      </c>
      <c r="L162" s="165">
        <f t="shared" si="157"/>
        <v>0</v>
      </c>
      <c r="M162" s="165">
        <f t="shared" si="157"/>
        <v>2555531.5</v>
      </c>
      <c r="N162" s="165">
        <f t="shared" si="157"/>
        <v>0</v>
      </c>
      <c r="O162" s="165">
        <f t="shared" si="157"/>
        <v>1913245</v>
      </c>
      <c r="P162" s="165">
        <f t="shared" si="157"/>
        <v>5000</v>
      </c>
      <c r="Q162" s="165">
        <f>SUM(Q117,Q142)</f>
        <v>5275695.65</v>
      </c>
      <c r="R162" s="165">
        <f t="shared" si="157"/>
        <v>0</v>
      </c>
      <c r="S162" s="165">
        <f t="shared" si="157"/>
        <v>1681068.47</v>
      </c>
      <c r="T162" s="165">
        <f t="shared" si="157"/>
        <v>0</v>
      </c>
      <c r="U162" s="165">
        <f t="shared" si="157"/>
        <v>747600</v>
      </c>
      <c r="V162" s="165">
        <f t="shared" si="157"/>
        <v>0</v>
      </c>
      <c r="W162" s="165">
        <f t="shared" si="157"/>
        <v>7704364.12</v>
      </c>
      <c r="X162" s="165">
        <f t="shared" si="157"/>
        <v>0</v>
      </c>
      <c r="Y162" s="165">
        <f t="shared" si="157"/>
        <v>3340375.5300000003</v>
      </c>
      <c r="Z162" s="165">
        <f t="shared" si="157"/>
        <v>0</v>
      </c>
      <c r="AA162" s="165">
        <f t="shared" si="157"/>
        <v>883900</v>
      </c>
      <c r="AB162" s="165">
        <f t="shared" si="157"/>
        <v>0</v>
      </c>
      <c r="AC162" s="165">
        <f t="shared" si="157"/>
        <v>11928639.649999999</v>
      </c>
      <c r="AD162" s="165">
        <f t="shared" si="157"/>
        <v>0</v>
      </c>
      <c r="AE162" s="165">
        <f>SUM(AE117,AE142)</f>
        <v>1554714.5700000003</v>
      </c>
      <c r="AF162" s="165">
        <f t="shared" si="157"/>
        <v>0</v>
      </c>
      <c r="AG162" s="165">
        <f t="shared" si="157"/>
        <v>795516</v>
      </c>
      <c r="AH162" s="165">
        <f t="shared" si="157"/>
        <v>0</v>
      </c>
      <c r="AI162" s="165">
        <f t="shared" si="157"/>
        <v>14278870.220000003</v>
      </c>
      <c r="AJ162" s="165">
        <f t="shared" si="157"/>
        <v>0</v>
      </c>
      <c r="AK162" s="165">
        <f t="shared" si="157"/>
        <v>7159816.53</v>
      </c>
      <c r="AL162" s="165">
        <f t="shared" si="157"/>
        <v>0</v>
      </c>
      <c r="AM162" s="166">
        <f t="shared" si="157"/>
        <v>1129648.65</v>
      </c>
      <c r="AN162" s="166">
        <f t="shared" si="157"/>
        <v>0</v>
      </c>
      <c r="AO162" s="165">
        <f t="shared" si="157"/>
        <v>22568335.4</v>
      </c>
      <c r="AP162" s="165">
        <f t="shared" si="157"/>
        <v>0</v>
      </c>
      <c r="AQ162" s="165">
        <f>SUM(AQ117,AQ142,AQ160)</f>
        <v>7294220.92</v>
      </c>
      <c r="AR162" s="165">
        <f t="shared" si="157"/>
        <v>0</v>
      </c>
      <c r="AS162" s="165">
        <f t="shared" si="157"/>
        <v>827140</v>
      </c>
      <c r="AT162" s="165">
        <f t="shared" si="157"/>
        <v>0</v>
      </c>
      <c r="AU162" s="165">
        <f>SUM(AU117,AU142)</f>
        <v>30689696.32</v>
      </c>
      <c r="AV162" s="165">
        <f t="shared" si="157"/>
        <v>0</v>
      </c>
      <c r="AW162" s="165">
        <f>SUM(AW117,AW142,AW160,AW161)</f>
        <v>9408824.11</v>
      </c>
      <c r="AX162" s="165">
        <f t="shared" si="157"/>
        <v>105</v>
      </c>
      <c r="AY162" s="165">
        <f t="shared" si="157"/>
        <v>926100</v>
      </c>
      <c r="AZ162" s="165">
        <f t="shared" si="157"/>
        <v>0</v>
      </c>
      <c r="BA162" s="165">
        <f>SUM(BA117,BA142)</f>
        <v>41024515.43</v>
      </c>
      <c r="BB162" s="165">
        <f>SUM(BB117,BB142)</f>
        <v>0</v>
      </c>
      <c r="BC162" s="165">
        <f t="shared" si="157"/>
        <v>0</v>
      </c>
      <c r="BD162" s="165">
        <f t="shared" si="157"/>
        <v>0</v>
      </c>
      <c r="BE162" s="165">
        <f t="shared" si="157"/>
        <v>0</v>
      </c>
      <c r="BF162" s="165">
        <f t="shared" si="157"/>
        <v>0</v>
      </c>
      <c r="BG162" s="165">
        <f>SUM(BG117,BG142)</f>
        <v>24183215.43</v>
      </c>
      <c r="BH162" s="165">
        <f t="shared" si="157"/>
        <v>0</v>
      </c>
      <c r="BI162" s="165">
        <f t="shared" si="157"/>
        <v>0</v>
      </c>
      <c r="BJ162" s="165">
        <f t="shared" si="157"/>
        <v>0</v>
      </c>
      <c r="BK162" s="165">
        <f t="shared" si="157"/>
        <v>0</v>
      </c>
      <c r="BL162" s="165">
        <f t="shared" si="157"/>
        <v>0</v>
      </c>
      <c r="BM162" s="165">
        <f>SUM(BM117,BM142)</f>
        <v>24183215.43</v>
      </c>
      <c r="BN162" s="165">
        <f t="shared" si="157"/>
        <v>0</v>
      </c>
      <c r="BO162" s="165">
        <f t="shared" si="157"/>
        <v>0</v>
      </c>
      <c r="BP162" s="165">
        <f t="shared" si="157"/>
        <v>0</v>
      </c>
      <c r="BQ162" s="165">
        <f t="shared" si="157"/>
        <v>0</v>
      </c>
      <c r="BR162" s="165">
        <f aca="true" t="shared" si="158" ref="BR162:CD162">SUM(BR117,BR142)</f>
        <v>0</v>
      </c>
      <c r="BS162" s="165">
        <f t="shared" si="158"/>
        <v>24183215.43</v>
      </c>
      <c r="BT162" s="165">
        <f t="shared" si="158"/>
        <v>0</v>
      </c>
      <c r="BU162" s="165">
        <f t="shared" si="158"/>
        <v>0</v>
      </c>
      <c r="BV162" s="165">
        <f t="shared" si="158"/>
        <v>0</v>
      </c>
      <c r="BW162" s="165">
        <f>SUM(BW117,BW142)</f>
        <v>0</v>
      </c>
      <c r="BX162" s="165">
        <f t="shared" si="158"/>
        <v>0</v>
      </c>
      <c r="BY162" s="165">
        <f>SUM(BY117,BY142)</f>
        <v>24183215.43</v>
      </c>
      <c r="BZ162" s="165">
        <f t="shared" si="158"/>
        <v>0</v>
      </c>
      <c r="CA162" s="166">
        <f>SUM(CA117,CA142)</f>
        <v>0</v>
      </c>
      <c r="CB162" s="166">
        <f t="shared" si="158"/>
        <v>0</v>
      </c>
      <c r="CC162" s="165">
        <f>SUM(CC117,CC142)</f>
        <v>24183215.43</v>
      </c>
      <c r="CD162" s="165">
        <f t="shared" si="158"/>
        <v>0</v>
      </c>
      <c r="CE162" s="167"/>
      <c r="CF162" s="167"/>
    </row>
    <row r="163" spans="1:84" s="58" customFormat="1" ht="15.75">
      <c r="A163" s="59" t="s">
        <v>289</v>
      </c>
      <c r="B163" s="57"/>
      <c r="C163" s="57"/>
      <c r="D163" s="57"/>
      <c r="E163" s="49"/>
      <c r="F163" s="49"/>
      <c r="G163" s="49"/>
      <c r="H163" s="49"/>
      <c r="I163" s="49"/>
      <c r="J163" s="49"/>
      <c r="K163" s="49"/>
      <c r="L163" s="12">
        <f>SUM(F163-G163+H163-I163+J163)</f>
        <v>0</v>
      </c>
      <c r="M163" s="49"/>
      <c r="N163" s="49"/>
      <c r="O163" s="49"/>
      <c r="P163" s="49"/>
      <c r="Q163" s="49"/>
      <c r="R163" s="12">
        <f>SUM(L163-M163+N163-O163+P163)</f>
        <v>0</v>
      </c>
      <c r="S163" s="49"/>
      <c r="T163" s="49"/>
      <c r="U163" s="49"/>
      <c r="V163" s="49"/>
      <c r="W163" s="49"/>
      <c r="X163" s="12">
        <f>SUM(R163-S163+T163-U163+V163)</f>
        <v>0</v>
      </c>
      <c r="Y163" s="49"/>
      <c r="Z163" s="49"/>
      <c r="AA163" s="49"/>
      <c r="AB163" s="49"/>
      <c r="AC163" s="49"/>
      <c r="AD163" s="12">
        <f>SUM(X163-Y163+Z163-AA163+AB163)</f>
        <v>0</v>
      </c>
      <c r="AE163" s="49"/>
      <c r="AF163" s="207">
        <v>10.8</v>
      </c>
      <c r="AG163" s="49"/>
      <c r="AH163" s="49"/>
      <c r="AI163" s="49"/>
      <c r="AJ163" s="201">
        <f>SUM(AD163-AE163+AF163-AG163+AH163)</f>
        <v>10.8</v>
      </c>
      <c r="AK163" s="49"/>
      <c r="AL163" s="49"/>
      <c r="AM163" s="101">
        <v>10.8</v>
      </c>
      <c r="AN163" s="101"/>
      <c r="AO163" s="49"/>
      <c r="AP163" s="12">
        <f>SUM(AJ163-AK163+AL163-AM163+AN163)</f>
        <v>0</v>
      </c>
      <c r="AQ163" s="49"/>
      <c r="AR163" s="49"/>
      <c r="AS163" s="49"/>
      <c r="AT163" s="49"/>
      <c r="AU163" s="49"/>
      <c r="AV163" s="12">
        <f>SUM(AP163-AQ163+AR163-AS163+AT163)</f>
        <v>0</v>
      </c>
      <c r="AW163" s="49"/>
      <c r="AX163" s="49"/>
      <c r="AY163" s="49"/>
      <c r="AZ163" s="49"/>
      <c r="BA163" s="49"/>
      <c r="BB163" s="12">
        <f>SUM(AV163-AW163+AX163-AY163+AZ163)</f>
        <v>0</v>
      </c>
      <c r="BC163" s="49"/>
      <c r="BD163" s="49"/>
      <c r="BE163" s="49"/>
      <c r="BF163" s="49"/>
      <c r="BG163" s="49"/>
      <c r="BH163" s="12">
        <f>SUM(BB163-BC163+BD163-BE163+BF163)</f>
        <v>0</v>
      </c>
      <c r="BI163" s="49"/>
      <c r="BJ163" s="49"/>
      <c r="BK163" s="49"/>
      <c r="BL163" s="49"/>
      <c r="BM163" s="49"/>
      <c r="BN163" s="12">
        <f>SUM(BH163-BI163+BJ163-BK163+BL163)</f>
        <v>0</v>
      </c>
      <c r="BO163" s="49"/>
      <c r="BP163" s="49"/>
      <c r="BQ163" s="49"/>
      <c r="BR163" s="49"/>
      <c r="BS163" s="49"/>
      <c r="BT163" s="12">
        <f>SUM(BN163-BO163+BP163-BQ163+BR163)</f>
        <v>0</v>
      </c>
      <c r="BU163" s="49"/>
      <c r="BV163" s="49"/>
      <c r="BW163" s="49"/>
      <c r="BX163" s="49"/>
      <c r="BY163" s="49"/>
      <c r="BZ163" s="12">
        <f>SUM(BT163-BU163+BV163-BW163+BX163)</f>
        <v>0</v>
      </c>
      <c r="CA163" s="101">
        <v>0</v>
      </c>
      <c r="CB163" s="101">
        <v>0</v>
      </c>
      <c r="CC163" s="49"/>
      <c r="CD163" s="12">
        <f>SUM(BX163-BY163+BZ163-CA163+CB163)</f>
        <v>0</v>
      </c>
      <c r="CE163" s="105"/>
      <c r="CF163" s="105"/>
    </row>
    <row r="164" spans="1:84" s="168" customFormat="1" ht="15.75">
      <c r="A164" s="439" t="s">
        <v>112</v>
      </c>
      <c r="B164" s="440"/>
      <c r="C164" s="440"/>
      <c r="D164" s="440"/>
      <c r="E164" s="165">
        <f>SUM(E25,E50,E115,E162)</f>
        <v>25724918.36</v>
      </c>
      <c r="F164" s="165">
        <f>SUM(F25,F50,F115,F162)</f>
        <v>25724918.36</v>
      </c>
      <c r="G164" s="165">
        <f aca="true" t="shared" si="159" ref="G164:AL164">SUM(G25,G50,G115,G162+G163)</f>
        <v>4429530.62</v>
      </c>
      <c r="H164" s="165">
        <f t="shared" si="159"/>
        <v>4429530.619999999</v>
      </c>
      <c r="I164" s="165">
        <f t="shared" si="159"/>
        <v>7219510.89</v>
      </c>
      <c r="J164" s="165">
        <f t="shared" si="159"/>
        <v>7219510.89</v>
      </c>
      <c r="K164" s="165">
        <f t="shared" si="159"/>
        <v>27434349.049999997</v>
      </c>
      <c r="L164" s="165">
        <f t="shared" si="159"/>
        <v>27434349.049999997</v>
      </c>
      <c r="M164" s="165">
        <f t="shared" si="159"/>
        <v>11434053.31</v>
      </c>
      <c r="N164" s="165">
        <f t="shared" si="159"/>
        <v>11434053.31</v>
      </c>
      <c r="O164" s="165">
        <f t="shared" si="159"/>
        <v>5583089.460000001</v>
      </c>
      <c r="P164" s="165">
        <f t="shared" si="159"/>
        <v>5583089.46</v>
      </c>
      <c r="Q164" s="165">
        <f t="shared" si="159"/>
        <v>35145326.06999999</v>
      </c>
      <c r="R164" s="165">
        <f t="shared" si="159"/>
        <v>35145326.07</v>
      </c>
      <c r="S164" s="165">
        <f t="shared" si="159"/>
        <v>12409510.360000001</v>
      </c>
      <c r="T164" s="165">
        <f t="shared" si="159"/>
        <v>12409510.36</v>
      </c>
      <c r="U164" s="165">
        <f t="shared" si="159"/>
        <v>9112905.97</v>
      </c>
      <c r="V164" s="165">
        <f t="shared" si="159"/>
        <v>9112905.97</v>
      </c>
      <c r="W164" s="165">
        <f t="shared" si="159"/>
        <v>43218860.81999999</v>
      </c>
      <c r="X164" s="165">
        <f t="shared" si="159"/>
        <v>43218860.82000001</v>
      </c>
      <c r="Y164" s="165">
        <f t="shared" si="159"/>
        <v>9372686.809999999</v>
      </c>
      <c r="Z164" s="165">
        <f t="shared" si="159"/>
        <v>9372686.81</v>
      </c>
      <c r="AA164" s="165">
        <f t="shared" si="159"/>
        <v>5747280.57</v>
      </c>
      <c r="AB164" s="165">
        <f t="shared" si="159"/>
        <v>5747280.57</v>
      </c>
      <c r="AC164" s="165">
        <f t="shared" si="159"/>
        <v>47223996.919999994</v>
      </c>
      <c r="AD164" s="165">
        <f t="shared" si="159"/>
        <v>47223996.92</v>
      </c>
      <c r="AE164" s="165">
        <f t="shared" si="159"/>
        <v>4938429.550000001</v>
      </c>
      <c r="AF164" s="165">
        <f t="shared" si="159"/>
        <v>4938429.55</v>
      </c>
      <c r="AG164" s="165">
        <f t="shared" si="159"/>
        <v>8422097.41</v>
      </c>
      <c r="AH164" s="165">
        <f t="shared" si="159"/>
        <v>8422097.41</v>
      </c>
      <c r="AI164" s="165">
        <f t="shared" si="159"/>
        <v>49316395.599999994</v>
      </c>
      <c r="AJ164" s="165">
        <f t="shared" si="159"/>
        <v>49316395.6</v>
      </c>
      <c r="AK164" s="165">
        <f t="shared" si="159"/>
        <v>20688562.56</v>
      </c>
      <c r="AL164" s="165">
        <f t="shared" si="159"/>
        <v>20688562.56</v>
      </c>
      <c r="AM164" s="166">
        <f>SUM(AM25,AM50,AM115,AM162+AM163)</f>
        <v>19924618.959999997</v>
      </c>
      <c r="AN164" s="166">
        <f>SUM(AN25,AN50,AN115,AN162+AN163)</f>
        <v>19924618.959999997</v>
      </c>
      <c r="AO164" s="165">
        <f aca="true" t="shared" si="160" ref="AO164:BR164">SUM(AO25,AO50,AO115,AO162+AO163)</f>
        <v>60467481.28999999</v>
      </c>
      <c r="AP164" s="165">
        <f t="shared" si="160"/>
        <v>60467481.28999999</v>
      </c>
      <c r="AQ164" s="165">
        <f t="shared" si="160"/>
        <v>19815724.58</v>
      </c>
      <c r="AR164" s="165">
        <f t="shared" si="160"/>
        <v>19815724.58</v>
      </c>
      <c r="AS164" s="165">
        <f t="shared" si="160"/>
        <v>11479792.34</v>
      </c>
      <c r="AT164" s="165">
        <f t="shared" si="160"/>
        <v>11479792.34</v>
      </c>
      <c r="AU164" s="165">
        <f t="shared" si="160"/>
        <v>68195934.38</v>
      </c>
      <c r="AV164" s="165">
        <f>SUM(AV25,AV50,AV115,AV162+AV163)</f>
        <v>68195934.38</v>
      </c>
      <c r="AW164" s="165">
        <f t="shared" si="160"/>
        <v>20010318.6</v>
      </c>
      <c r="AX164" s="165">
        <f>SUM(AX25,AX50,AX115,AX162+AX163)</f>
        <v>20010318.6</v>
      </c>
      <c r="AY164" s="165">
        <f t="shared" si="160"/>
        <v>11545506.9</v>
      </c>
      <c r="AZ164" s="165">
        <f t="shared" si="160"/>
        <v>11545506.9</v>
      </c>
      <c r="BA164" s="165">
        <f>SUM(BA25,BA50,BA115,BA162+BA163)</f>
        <v>77324916.94</v>
      </c>
      <c r="BB164" s="165">
        <f>SUM(BB25,BB50,BB115,BB162+BB163)</f>
        <v>77324916.94</v>
      </c>
      <c r="BC164" s="165">
        <f t="shared" si="160"/>
        <v>0</v>
      </c>
      <c r="BD164" s="165">
        <f t="shared" si="160"/>
        <v>0</v>
      </c>
      <c r="BE164" s="165">
        <f t="shared" si="160"/>
        <v>0</v>
      </c>
      <c r="BF164" s="165">
        <f t="shared" si="160"/>
        <v>0</v>
      </c>
      <c r="BG164" s="165">
        <f t="shared" si="160"/>
        <v>60483616.94</v>
      </c>
      <c r="BH164" s="165">
        <f t="shared" si="160"/>
        <v>75344916.94</v>
      </c>
      <c r="BI164" s="165">
        <f t="shared" si="160"/>
        <v>0</v>
      </c>
      <c r="BJ164" s="165">
        <f t="shared" si="160"/>
        <v>0</v>
      </c>
      <c r="BK164" s="165">
        <f t="shared" si="160"/>
        <v>0</v>
      </c>
      <c r="BL164" s="165">
        <f t="shared" si="160"/>
        <v>0</v>
      </c>
      <c r="BM164" s="165">
        <f t="shared" si="160"/>
        <v>60252322.33</v>
      </c>
      <c r="BN164" s="165">
        <f t="shared" si="160"/>
        <v>75344916.94</v>
      </c>
      <c r="BO164" s="165">
        <f t="shared" si="160"/>
        <v>0</v>
      </c>
      <c r="BP164" s="165">
        <f t="shared" si="160"/>
        <v>0</v>
      </c>
      <c r="BQ164" s="165">
        <f t="shared" si="160"/>
        <v>0</v>
      </c>
      <c r="BR164" s="165">
        <f t="shared" si="160"/>
        <v>0</v>
      </c>
      <c r="BS164" s="165">
        <f aca="true" t="shared" si="161" ref="BS164:CD164">SUM(BS25,BS50,BS115,BS162+BS163)</f>
        <v>60252322.33</v>
      </c>
      <c r="BT164" s="165">
        <f t="shared" si="161"/>
        <v>75344916.94</v>
      </c>
      <c r="BU164" s="165">
        <f t="shared" si="161"/>
        <v>0</v>
      </c>
      <c r="BV164" s="165">
        <f t="shared" si="161"/>
        <v>0</v>
      </c>
      <c r="BW164" s="165">
        <f t="shared" si="161"/>
        <v>0</v>
      </c>
      <c r="BX164" s="165">
        <f t="shared" si="161"/>
        <v>0</v>
      </c>
      <c r="BY164" s="165">
        <f t="shared" si="161"/>
        <v>60252322.33</v>
      </c>
      <c r="BZ164" s="165">
        <f t="shared" si="161"/>
        <v>75344916.94</v>
      </c>
      <c r="CA164" s="166">
        <f t="shared" si="161"/>
        <v>0</v>
      </c>
      <c r="CB164" s="166">
        <f t="shared" si="161"/>
        <v>0</v>
      </c>
      <c r="CC164" s="165">
        <f t="shared" si="161"/>
        <v>60252322.33</v>
      </c>
      <c r="CD164" s="165">
        <f t="shared" si="161"/>
        <v>75344916.94</v>
      </c>
      <c r="CE164" s="167"/>
      <c r="CF164" s="167"/>
    </row>
    <row r="165" spans="6:82" ht="15.75">
      <c r="F165" s="32">
        <f>SUM(E164-F164)</f>
        <v>0</v>
      </c>
      <c r="H165" s="32">
        <f>SUM(G164-H164)</f>
        <v>9.313225746154785E-10</v>
      </c>
      <c r="I165" s="32"/>
      <c r="J165" s="32">
        <f>+J164-I164</f>
        <v>0</v>
      </c>
      <c r="L165" s="32">
        <f>SUM(K164-L164)</f>
        <v>0</v>
      </c>
      <c r="N165" s="32">
        <f>SUM(M164-N164)</f>
        <v>0</v>
      </c>
      <c r="O165" s="32"/>
      <c r="P165" s="32">
        <f>+P164-O164</f>
        <v>0</v>
      </c>
      <c r="R165" s="32">
        <f>SUM(Q164-R164)</f>
        <v>-7.450580596923828E-09</v>
      </c>
      <c r="T165" s="32">
        <f>SUM(S164-T164)</f>
        <v>1.862645149230957E-09</v>
      </c>
      <c r="U165" s="32"/>
      <c r="V165" s="32">
        <f>SUM(U164-V164)</f>
        <v>0</v>
      </c>
      <c r="X165" s="32">
        <f>SUM(W164-X164)</f>
        <v>-1.4901161193847656E-08</v>
      </c>
      <c r="Z165" s="32">
        <f>SUM(Y164-Z164)</f>
        <v>-1.862645149230957E-09</v>
      </c>
      <c r="AA165" s="32"/>
      <c r="AB165" s="32">
        <f>SUM(AA164-AB164)</f>
        <v>0</v>
      </c>
      <c r="AD165" s="32">
        <f>SUM(AC164-AD164)</f>
        <v>-7.450580596923828E-09</v>
      </c>
      <c r="AF165" s="209">
        <f>SUM(AE164-AF164)</f>
        <v>9.313225746154785E-10</v>
      </c>
      <c r="AG165" s="32"/>
      <c r="AH165" s="32" t="s">
        <v>292</v>
      </c>
      <c r="AJ165" s="32">
        <f>SUM(AI164-AJ164)</f>
        <v>-7.450580596923828E-09</v>
      </c>
      <c r="AL165" s="32">
        <f>SUM(AK164-AL164)</f>
        <v>0</v>
      </c>
      <c r="AM165" s="32"/>
      <c r="AN165" s="32">
        <f>SUM(AM164-AN164)</f>
        <v>0</v>
      </c>
      <c r="AP165" s="32">
        <f>SUM(AO164-AP164)</f>
        <v>0</v>
      </c>
      <c r="AR165" s="32">
        <f>SUM(AQ164-AR164)</f>
        <v>0</v>
      </c>
      <c r="AS165" s="32"/>
      <c r="AT165" s="32">
        <f>SUM(AS164-AT164)</f>
        <v>0</v>
      </c>
      <c r="AV165" s="32">
        <f>SUM(AU164-AV164)</f>
        <v>0</v>
      </c>
      <c r="AX165" s="32">
        <f>SUM(AW164-AX164)</f>
        <v>0</v>
      </c>
      <c r="AY165" s="32"/>
      <c r="AZ165" s="32">
        <f>SUM(AY164-AZ164)</f>
        <v>0</v>
      </c>
      <c r="BB165" s="32">
        <f>SUM(BA164-BB164)</f>
        <v>0</v>
      </c>
      <c r="BD165" s="32">
        <f>SUM(BC164-BD164)</f>
        <v>0</v>
      </c>
      <c r="BE165" s="32"/>
      <c r="BF165" s="32">
        <f>SUM(BE164-BF164)</f>
        <v>0</v>
      </c>
      <c r="BH165" s="32">
        <f>SUM(BG164-BH164)</f>
        <v>-14861300</v>
      </c>
      <c r="BJ165" s="32">
        <f>SUM(BI164-BJ164)</f>
        <v>0</v>
      </c>
      <c r="BK165" s="32"/>
      <c r="BL165" s="32">
        <f>SUM(BK164-BL164)</f>
        <v>0</v>
      </c>
      <c r="BN165" s="32">
        <f>SUM(BM164-BN164)</f>
        <v>-15092594.61</v>
      </c>
      <c r="BP165" s="32">
        <f>SUM(BO164-BP164)</f>
        <v>0</v>
      </c>
      <c r="BQ165" s="32"/>
      <c r="BR165" s="32">
        <f>SUM(BQ164-BR164)</f>
        <v>0</v>
      </c>
      <c r="BT165" s="32">
        <f>SUM(BS164-BT164)</f>
        <v>-15092594.61</v>
      </c>
      <c r="BV165" s="32">
        <f>SUM(BU164-BV164)</f>
        <v>0</v>
      </c>
      <c r="BW165" s="32"/>
      <c r="BX165" s="32">
        <f>SUM(BW164-BX164)</f>
        <v>0</v>
      </c>
      <c r="BZ165" s="32">
        <f>SUM(BY164-BZ164)</f>
        <v>-15092594.61</v>
      </c>
      <c r="CA165" s="32"/>
      <c r="CB165" s="32">
        <f>SUM(CA164-CB164)</f>
        <v>0</v>
      </c>
      <c r="CD165" s="32">
        <f>SUM(CC164-CD164)</f>
        <v>-15092594.61</v>
      </c>
    </row>
    <row r="166" spans="31:84" ht="15.75">
      <c r="AE166" s="6" t="s">
        <v>558</v>
      </c>
      <c r="AF166" s="210">
        <f>+AE127+AE128+AE129+AE130</f>
        <v>844506</v>
      </c>
      <c r="AH166" s="6">
        <v>738850</v>
      </c>
      <c r="AL166" s="6" t="s">
        <v>558</v>
      </c>
      <c r="AM166" s="391">
        <f>+AK127+AK128+AK129+AK130</f>
        <v>856165</v>
      </c>
      <c r="BH166" s="6">
        <f>+BG164-BH164</f>
        <v>-14861300</v>
      </c>
      <c r="CF166" s="6">
        <v>29884592.4</v>
      </c>
    </row>
    <row r="167" spans="31:39" ht="15.75">
      <c r="AE167" s="6" t="s">
        <v>559</v>
      </c>
      <c r="AF167" s="210">
        <f>+AE118+AE131+AE132+AE133+AE137+AE138+AG132+AE134</f>
        <v>465498.56999999995</v>
      </c>
      <c r="AH167" s="6">
        <f>+AJ105+AJ106+AJ109+AJ107</f>
        <v>738850</v>
      </c>
      <c r="AI167" s="6">
        <f>+AI150+AI151+AI121</f>
        <v>535233</v>
      </c>
      <c r="AL167" s="6" t="s">
        <v>559</v>
      </c>
      <c r="AM167" s="391">
        <f>+AK118+AK131+AK132+AK133+AK134+AK137+AK138+AM131+AM132</f>
        <v>748960.18</v>
      </c>
    </row>
    <row r="168" spans="31:51" ht="15.75">
      <c r="AE168" s="6" t="s">
        <v>560</v>
      </c>
      <c r="AF168" s="210">
        <f>+AE135</f>
        <v>0</v>
      </c>
      <c r="AH168" s="6">
        <f>+AH166-AH167</f>
        <v>0</v>
      </c>
      <c r="AL168" s="6" t="s">
        <v>560</v>
      </c>
      <c r="AM168" s="391">
        <f>+AK135</f>
        <v>96200</v>
      </c>
      <c r="AY168" s="6">
        <f>1510+40000</f>
        <v>41510</v>
      </c>
    </row>
    <row r="169" spans="31:39" ht="15.75">
      <c r="AE169" s="6" t="s">
        <v>561</v>
      </c>
      <c r="AF169" s="210">
        <f>+AE136</f>
        <v>70850</v>
      </c>
      <c r="AL169" s="6" t="s">
        <v>561</v>
      </c>
      <c r="AM169" s="391">
        <f>+AK136</f>
        <v>133900</v>
      </c>
    </row>
    <row r="170" spans="32:39" ht="16.5" thickBot="1">
      <c r="AF170" s="374">
        <f>SUM(AF166:AF169)</f>
        <v>1380854.5699999998</v>
      </c>
      <c r="AM170" s="6">
        <f>SUM(AM166:AM169)</f>
        <v>1835225.1800000002</v>
      </c>
    </row>
    <row r="171" spans="32:45" ht="16.5" thickTop="1">
      <c r="AF171" s="210">
        <f>+AE117+AG117</f>
        <v>1380854.5700000003</v>
      </c>
      <c r="AM171" s="6">
        <f>+AK117+AM117</f>
        <v>1835225.18</v>
      </c>
      <c r="AS171" s="6">
        <f>1660460.63-1657662.43</f>
        <v>2798.1999999999534</v>
      </c>
    </row>
    <row r="172" ht="15.75">
      <c r="AF172" s="210">
        <f>+AF171-AF170</f>
        <v>0</v>
      </c>
    </row>
    <row r="174" spans="40:42" ht="15.75">
      <c r="AN174" s="6" t="s">
        <v>490</v>
      </c>
      <c r="AP174" s="6">
        <f>+AO143+AO150+AO151+AO152</f>
        <v>6330651</v>
      </c>
    </row>
  </sheetData>
  <sheetProtection/>
  <mergeCells count="54">
    <mergeCell ref="AO1:AP1"/>
    <mergeCell ref="Y1:Z1"/>
    <mergeCell ref="AC1:AD1"/>
    <mergeCell ref="AE1:AF1"/>
    <mergeCell ref="AI1:AJ1"/>
    <mergeCell ref="AG1:AH1"/>
    <mergeCell ref="AM1:AN1"/>
    <mergeCell ref="AA1:AB1"/>
    <mergeCell ref="AK1:AL1"/>
    <mergeCell ref="A3:D3"/>
    <mergeCell ref="A25:D25"/>
    <mergeCell ref="W1:X1"/>
    <mergeCell ref="S1:T1"/>
    <mergeCell ref="M1:N1"/>
    <mergeCell ref="Q1:R1"/>
    <mergeCell ref="A1:D2"/>
    <mergeCell ref="E1:F1"/>
    <mergeCell ref="G1:H1"/>
    <mergeCell ref="K1:L1"/>
    <mergeCell ref="I1:J1"/>
    <mergeCell ref="O1:P1"/>
    <mergeCell ref="U1:V1"/>
    <mergeCell ref="A164:D164"/>
    <mergeCell ref="A26:D26"/>
    <mergeCell ref="A50:D50"/>
    <mergeCell ref="A51:D51"/>
    <mergeCell ref="A115:D115"/>
    <mergeCell ref="A116:D116"/>
    <mergeCell ref="A162:D162"/>
    <mergeCell ref="A159:D159"/>
    <mergeCell ref="B43:D43"/>
    <mergeCell ref="C100:D100"/>
    <mergeCell ref="A157:D157"/>
    <mergeCell ref="A158:D158"/>
    <mergeCell ref="BC1:BD1"/>
    <mergeCell ref="AQ1:AR1"/>
    <mergeCell ref="AU1:AV1"/>
    <mergeCell ref="AW1:AX1"/>
    <mergeCell ref="BA1:BB1"/>
    <mergeCell ref="AS1:AT1"/>
    <mergeCell ref="AY1:AZ1"/>
    <mergeCell ref="CC1:CD1"/>
    <mergeCell ref="BG1:BH1"/>
    <mergeCell ref="BE1:BF1"/>
    <mergeCell ref="BY1:BZ1"/>
    <mergeCell ref="BI1:BJ1"/>
    <mergeCell ref="BM1:BN1"/>
    <mergeCell ref="BO1:BP1"/>
    <mergeCell ref="BS1:BT1"/>
    <mergeCell ref="BK1:BL1"/>
    <mergeCell ref="CA1:CB1"/>
    <mergeCell ref="BQ1:BR1"/>
    <mergeCell ref="BW1:BX1"/>
    <mergeCell ref="BU1:BV1"/>
  </mergeCells>
  <printOptions/>
  <pageMargins left="1.062992125984252" right="0.1968503937007874" top="1.3779527559055118" bottom="0.1968503937007874" header="0.5905511811023623" footer="0.6299212598425197"/>
  <pageSetup horizontalDpi="300" verticalDpi="300" orientation="landscape" paperSize="9" scale="80" r:id="rId1"/>
  <headerFooter alignWithMargins="0">
    <oddHeader>&amp;C&amp;"TH SarabunPSK,ธรรมดา"&amp;14เทศบาลตำบลเขาพระ อำเภอพิปูน จังหวัดนครศรีธรรมราชงบดุลบัญชีปีงบประมาณ 2558&amp;"Arial,ธรรมดา"&amp;10</oddHeader>
  </headerFooter>
  <rowBreaks count="6" manualBreakCount="6">
    <brk id="30" max="81" man="1"/>
    <brk id="50" max="81" man="1"/>
    <brk id="74" max="81" man="1"/>
    <brk id="93" max="81" man="1"/>
    <brk id="115" max="81" man="1"/>
    <brk id="141" max="81" man="1"/>
  </rowBreaks>
  <colBreaks count="13" manualBreakCount="13">
    <brk id="10" max="166" man="1"/>
    <brk id="12" max="166" man="1"/>
    <brk id="18" max="166" man="1"/>
    <brk id="24" max="166" man="1"/>
    <brk id="30" max="166" man="1"/>
    <brk id="36" max="166" man="1"/>
    <brk id="42" max="166" man="1"/>
    <brk id="48" max="166" man="1"/>
    <brk id="54" max="166" man="1"/>
    <brk id="60" max="166" man="1"/>
    <brk id="66" max="166" man="1"/>
    <brk id="72" max="166" man="1"/>
    <brk id="78" max="1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W116"/>
  <sheetViews>
    <sheetView view="pageBreakPreview" zoomScale="120" zoomScaleSheetLayoutView="120" zoomScalePageLayoutView="0" workbookViewId="0" topLeftCell="H102">
      <selection activeCell="F99" sqref="F99"/>
    </sheetView>
  </sheetViews>
  <sheetFormatPr defaultColWidth="9.140625" defaultRowHeight="12.75"/>
  <cols>
    <col min="1" max="1" width="10.00390625" style="50" customWidth="1"/>
    <col min="2" max="2" width="8.7109375" style="24" customWidth="1"/>
    <col min="3" max="3" width="8.140625" style="24" customWidth="1"/>
    <col min="4" max="4" width="6.140625" style="24" customWidth="1"/>
    <col min="5" max="5" width="6.421875" style="24" customWidth="1"/>
    <col min="6" max="6" width="7.7109375" style="24" customWidth="1"/>
    <col min="7" max="7" width="6.140625" style="24" customWidth="1"/>
    <col min="8" max="8" width="5.421875" style="24" customWidth="1"/>
    <col min="9" max="9" width="9.140625" style="24" customWidth="1"/>
    <col min="10" max="11" width="6.00390625" style="24" customWidth="1"/>
    <col min="12" max="13" width="9.28125" style="24" customWidth="1"/>
    <col min="14" max="14" width="8.00390625" style="24" customWidth="1"/>
    <col min="15" max="15" width="5.7109375" style="24" hidden="1" customWidth="1"/>
    <col min="16" max="16" width="4.8515625" style="24" hidden="1" customWidth="1"/>
    <col min="17" max="17" width="5.00390625" style="24" hidden="1" customWidth="1"/>
    <col min="18" max="18" width="5.140625" style="24" hidden="1" customWidth="1"/>
    <col min="19" max="19" width="5.00390625" style="24" hidden="1" customWidth="1"/>
    <col min="20" max="20" width="1.1484375" style="24" hidden="1" customWidth="1"/>
    <col min="21" max="21" width="10.7109375" style="24" customWidth="1"/>
    <col min="22" max="22" width="11.8515625" style="24" customWidth="1"/>
    <col min="23" max="23" width="13.421875" style="0" bestFit="1" customWidth="1"/>
  </cols>
  <sheetData>
    <row r="1" spans="1:22" ht="13.5">
      <c r="A1" s="516" t="s">
        <v>192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</row>
    <row r="2" spans="1:22" ht="13.5">
      <c r="A2" s="516" t="s">
        <v>286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</row>
    <row r="3" spans="1:22" ht="13.5">
      <c r="A3" s="517" t="s">
        <v>468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</row>
    <row r="4" spans="1:22" ht="13.5">
      <c r="A4" s="518" t="s">
        <v>194</v>
      </c>
      <c r="B4" s="518"/>
      <c r="C4" s="519" t="s">
        <v>196</v>
      </c>
      <c r="D4" s="519"/>
      <c r="E4" s="299" t="s">
        <v>199</v>
      </c>
      <c r="F4" s="519" t="s">
        <v>201</v>
      </c>
      <c r="G4" s="518"/>
      <c r="H4" s="519" t="s">
        <v>215</v>
      </c>
      <c r="I4" s="518"/>
      <c r="J4" s="299" t="s">
        <v>216</v>
      </c>
      <c r="K4" s="520" t="s">
        <v>217</v>
      </c>
      <c r="L4" s="521"/>
      <c r="M4" s="522"/>
      <c r="N4" s="299" t="s">
        <v>218</v>
      </c>
      <c r="O4" s="520" t="s">
        <v>219</v>
      </c>
      <c r="P4" s="521"/>
      <c r="Q4" s="522"/>
      <c r="R4" s="519" t="s">
        <v>220</v>
      </c>
      <c r="S4" s="518"/>
      <c r="T4" s="299" t="s">
        <v>284</v>
      </c>
      <c r="U4" s="299" t="s">
        <v>221</v>
      </c>
      <c r="V4" s="523" t="s">
        <v>17</v>
      </c>
    </row>
    <row r="5" spans="1:22" ht="13.5">
      <c r="A5" s="518" t="s">
        <v>195</v>
      </c>
      <c r="B5" s="518"/>
      <c r="C5" s="299" t="s">
        <v>197</v>
      </c>
      <c r="D5" s="299" t="s">
        <v>198</v>
      </c>
      <c r="E5" s="299" t="s">
        <v>200</v>
      </c>
      <c r="F5" s="299" t="s">
        <v>202</v>
      </c>
      <c r="G5" s="299" t="s">
        <v>203</v>
      </c>
      <c r="H5" s="299" t="s">
        <v>204</v>
      </c>
      <c r="I5" s="299" t="s">
        <v>205</v>
      </c>
      <c r="J5" s="299" t="s">
        <v>206</v>
      </c>
      <c r="K5" s="299" t="s">
        <v>207</v>
      </c>
      <c r="L5" s="299" t="s">
        <v>208</v>
      </c>
      <c r="M5" s="299" t="s">
        <v>334</v>
      </c>
      <c r="N5" s="299" t="s">
        <v>209</v>
      </c>
      <c r="O5" s="299" t="s">
        <v>210</v>
      </c>
      <c r="P5" s="299" t="s">
        <v>211</v>
      </c>
      <c r="Q5" s="299" t="s">
        <v>290</v>
      </c>
      <c r="R5" s="299" t="s">
        <v>212</v>
      </c>
      <c r="S5" s="299" t="s">
        <v>213</v>
      </c>
      <c r="T5" s="299" t="s">
        <v>285</v>
      </c>
      <c r="U5" s="299" t="s">
        <v>214</v>
      </c>
      <c r="V5" s="523"/>
    </row>
    <row r="6" spans="1:22" ht="13.5">
      <c r="A6" s="514" t="s">
        <v>268</v>
      </c>
      <c r="B6" s="515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5"/>
      <c r="V6" s="55">
        <f>SUM(C6:U6)</f>
        <v>0</v>
      </c>
    </row>
    <row r="7" spans="1:22" ht="13.5">
      <c r="A7" s="512" t="s">
        <v>231</v>
      </c>
      <c r="B7" s="513"/>
      <c r="C7" s="53">
        <f>SUM(C6)</f>
        <v>0</v>
      </c>
      <c r="D7" s="53">
        <f aca="true" t="shared" si="0" ref="D7:U7">SUM(D6)</f>
        <v>0</v>
      </c>
      <c r="E7" s="53">
        <f t="shared" si="0"/>
        <v>0</v>
      </c>
      <c r="F7" s="53">
        <f t="shared" si="0"/>
        <v>0</v>
      </c>
      <c r="G7" s="53">
        <f t="shared" si="0"/>
        <v>0</v>
      </c>
      <c r="H7" s="53">
        <f t="shared" si="0"/>
        <v>0</v>
      </c>
      <c r="I7" s="53">
        <f t="shared" si="0"/>
        <v>0</v>
      </c>
      <c r="J7" s="53">
        <f t="shared" si="0"/>
        <v>0</v>
      </c>
      <c r="K7" s="53">
        <f t="shared" si="0"/>
        <v>0</v>
      </c>
      <c r="L7" s="53">
        <f t="shared" si="0"/>
        <v>0</v>
      </c>
      <c r="M7" s="53">
        <f t="shared" si="0"/>
        <v>0</v>
      </c>
      <c r="N7" s="53">
        <f t="shared" si="0"/>
        <v>0</v>
      </c>
      <c r="O7" s="53">
        <f t="shared" si="0"/>
        <v>0</v>
      </c>
      <c r="P7" s="53">
        <f t="shared" si="0"/>
        <v>0</v>
      </c>
      <c r="Q7" s="53">
        <f t="shared" si="0"/>
        <v>0</v>
      </c>
      <c r="R7" s="53">
        <f t="shared" si="0"/>
        <v>0</v>
      </c>
      <c r="S7" s="53">
        <f t="shared" si="0"/>
        <v>0</v>
      </c>
      <c r="T7" s="53">
        <f t="shared" si="0"/>
        <v>0</v>
      </c>
      <c r="U7" s="53">
        <f t="shared" si="0"/>
        <v>0</v>
      </c>
      <c r="V7" s="53">
        <f>SUM(V6)</f>
        <v>0</v>
      </c>
    </row>
    <row r="8" spans="1:22" ht="13.5">
      <c r="A8" s="514" t="s">
        <v>269</v>
      </c>
      <c r="B8" s="5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5">
        <f>SUM(C8:U8)</f>
        <v>0</v>
      </c>
    </row>
    <row r="9" spans="1:22" ht="13.5">
      <c r="A9" s="512" t="s">
        <v>231</v>
      </c>
      <c r="B9" s="513"/>
      <c r="C9" s="53">
        <f>SUM(C8)</f>
        <v>0</v>
      </c>
      <c r="D9" s="53">
        <f aca="true" t="shared" si="1" ref="D9:U9">SUM(D8)</f>
        <v>0</v>
      </c>
      <c r="E9" s="53">
        <f t="shared" si="1"/>
        <v>0</v>
      </c>
      <c r="F9" s="53">
        <f t="shared" si="1"/>
        <v>0</v>
      </c>
      <c r="G9" s="53">
        <f t="shared" si="1"/>
        <v>0</v>
      </c>
      <c r="H9" s="53">
        <f t="shared" si="1"/>
        <v>0</v>
      </c>
      <c r="I9" s="53">
        <f t="shared" si="1"/>
        <v>0</v>
      </c>
      <c r="J9" s="53">
        <f t="shared" si="1"/>
        <v>0</v>
      </c>
      <c r="K9" s="53">
        <f t="shared" si="1"/>
        <v>0</v>
      </c>
      <c r="L9" s="53">
        <f t="shared" si="1"/>
        <v>0</v>
      </c>
      <c r="M9" s="53">
        <f t="shared" si="1"/>
        <v>0</v>
      </c>
      <c r="N9" s="53">
        <f t="shared" si="1"/>
        <v>0</v>
      </c>
      <c r="O9" s="53">
        <f t="shared" si="1"/>
        <v>0</v>
      </c>
      <c r="P9" s="53">
        <f t="shared" si="1"/>
        <v>0</v>
      </c>
      <c r="Q9" s="53">
        <f t="shared" si="1"/>
        <v>0</v>
      </c>
      <c r="R9" s="53">
        <f t="shared" si="1"/>
        <v>0</v>
      </c>
      <c r="S9" s="53">
        <f t="shared" si="1"/>
        <v>0</v>
      </c>
      <c r="T9" s="53">
        <f t="shared" si="1"/>
        <v>0</v>
      </c>
      <c r="U9" s="53">
        <f t="shared" si="1"/>
        <v>0</v>
      </c>
      <c r="V9" s="53">
        <f>SUM(V8)</f>
        <v>0</v>
      </c>
    </row>
    <row r="10" spans="1:22" ht="13.5">
      <c r="A10" s="514" t="s">
        <v>270</v>
      </c>
      <c r="B10" s="515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ht="13.5">
      <c r="A11" s="512" t="s">
        <v>231</v>
      </c>
      <c r="B11" s="513"/>
      <c r="C11" s="53">
        <f>SUM(C10)</f>
        <v>0</v>
      </c>
      <c r="D11" s="53">
        <f aca="true" t="shared" si="2" ref="D11:U11">SUM(D10)</f>
        <v>0</v>
      </c>
      <c r="E11" s="53">
        <f t="shared" si="2"/>
        <v>0</v>
      </c>
      <c r="F11" s="53">
        <f t="shared" si="2"/>
        <v>0</v>
      </c>
      <c r="G11" s="53">
        <f t="shared" si="2"/>
        <v>0</v>
      </c>
      <c r="H11" s="53">
        <f t="shared" si="2"/>
        <v>0</v>
      </c>
      <c r="I11" s="53">
        <f t="shared" si="2"/>
        <v>0</v>
      </c>
      <c r="J11" s="53">
        <f t="shared" si="2"/>
        <v>0</v>
      </c>
      <c r="K11" s="53">
        <f t="shared" si="2"/>
        <v>0</v>
      </c>
      <c r="L11" s="53">
        <f t="shared" si="2"/>
        <v>0</v>
      </c>
      <c r="M11" s="53">
        <f t="shared" si="2"/>
        <v>0</v>
      </c>
      <c r="N11" s="53">
        <f t="shared" si="2"/>
        <v>0</v>
      </c>
      <c r="O11" s="53">
        <f t="shared" si="2"/>
        <v>0</v>
      </c>
      <c r="P11" s="53">
        <f t="shared" si="2"/>
        <v>0</v>
      </c>
      <c r="Q11" s="53">
        <f t="shared" si="2"/>
        <v>0</v>
      </c>
      <c r="R11" s="53">
        <f t="shared" si="2"/>
        <v>0</v>
      </c>
      <c r="S11" s="53">
        <f t="shared" si="2"/>
        <v>0</v>
      </c>
      <c r="T11" s="53">
        <f t="shared" si="2"/>
        <v>0</v>
      </c>
      <c r="U11" s="53">
        <f t="shared" si="2"/>
        <v>0</v>
      </c>
      <c r="V11" s="53">
        <f>SUM(V10)</f>
        <v>0</v>
      </c>
    </row>
    <row r="12" spans="1:22" ht="13.5">
      <c r="A12" s="514" t="s">
        <v>271</v>
      </c>
      <c r="B12" s="515"/>
      <c r="C12" s="54"/>
      <c r="D12" s="54"/>
      <c r="E12" s="54"/>
      <c r="F12" s="54">
        <v>0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ht="13.5">
      <c r="A13" s="512" t="s">
        <v>231</v>
      </c>
      <c r="B13" s="513"/>
      <c r="C13" s="53">
        <f>SUM(C12)</f>
        <v>0</v>
      </c>
      <c r="D13" s="53">
        <f>SUM(D12)</f>
        <v>0</v>
      </c>
      <c r="E13" s="53">
        <f>SUM(E12)</f>
        <v>0</v>
      </c>
      <c r="F13" s="53">
        <f>SUM(F12)</f>
        <v>0</v>
      </c>
      <c r="G13" s="53">
        <f aca="true" t="shared" si="3" ref="G13:V13">SUM(G12)</f>
        <v>0</v>
      </c>
      <c r="H13" s="53">
        <f t="shared" si="3"/>
        <v>0</v>
      </c>
      <c r="I13" s="53">
        <f t="shared" si="3"/>
        <v>0</v>
      </c>
      <c r="J13" s="53">
        <f t="shared" si="3"/>
        <v>0</v>
      </c>
      <c r="K13" s="53">
        <f t="shared" si="3"/>
        <v>0</v>
      </c>
      <c r="L13" s="53">
        <f t="shared" si="3"/>
        <v>0</v>
      </c>
      <c r="M13" s="53">
        <f t="shared" si="3"/>
        <v>0</v>
      </c>
      <c r="N13" s="53">
        <f t="shared" si="3"/>
        <v>0</v>
      </c>
      <c r="O13" s="53">
        <f t="shared" si="3"/>
        <v>0</v>
      </c>
      <c r="P13" s="53">
        <f t="shared" si="3"/>
        <v>0</v>
      </c>
      <c r="Q13" s="53">
        <f t="shared" si="3"/>
        <v>0</v>
      </c>
      <c r="R13" s="53">
        <f t="shared" si="3"/>
        <v>0</v>
      </c>
      <c r="S13" s="53">
        <f t="shared" si="3"/>
        <v>0</v>
      </c>
      <c r="T13" s="53">
        <f t="shared" si="3"/>
        <v>0</v>
      </c>
      <c r="U13" s="53">
        <f t="shared" si="3"/>
        <v>0</v>
      </c>
      <c r="V13" s="53">
        <f t="shared" si="3"/>
        <v>0</v>
      </c>
    </row>
    <row r="14" spans="1:22" ht="13.5">
      <c r="A14" s="514" t="s">
        <v>272</v>
      </c>
      <c r="B14" s="515"/>
      <c r="C14" s="54"/>
      <c r="D14" s="54"/>
      <c r="E14" s="54"/>
      <c r="F14" s="54"/>
      <c r="G14" s="54"/>
      <c r="H14" s="54"/>
      <c r="I14" s="54"/>
      <c r="J14" s="54"/>
      <c r="K14" s="54"/>
      <c r="L14" s="54">
        <v>10000</v>
      </c>
      <c r="M14" s="54"/>
      <c r="N14" s="54">
        <v>5000</v>
      </c>
      <c r="O14" s="54"/>
      <c r="P14" s="54"/>
      <c r="Q14" s="54"/>
      <c r="R14" s="54"/>
      <c r="S14" s="54"/>
      <c r="T14" s="54"/>
      <c r="U14" s="54"/>
      <c r="V14" s="54">
        <f>SUM(F14:U14)</f>
        <v>15000</v>
      </c>
    </row>
    <row r="15" spans="1:22" ht="13.5">
      <c r="A15" s="512" t="s">
        <v>231</v>
      </c>
      <c r="B15" s="513"/>
      <c r="C15" s="53">
        <f>SUM(C14)</f>
        <v>0</v>
      </c>
      <c r="D15" s="53">
        <f aca="true" t="shared" si="4" ref="D15:U15">SUM(D14)</f>
        <v>0</v>
      </c>
      <c r="E15" s="53">
        <f t="shared" si="4"/>
        <v>0</v>
      </c>
      <c r="F15" s="53">
        <f t="shared" si="4"/>
        <v>0</v>
      </c>
      <c r="G15" s="53">
        <f t="shared" si="4"/>
        <v>0</v>
      </c>
      <c r="H15" s="53">
        <f t="shared" si="4"/>
        <v>0</v>
      </c>
      <c r="I15" s="53">
        <f t="shared" si="4"/>
        <v>0</v>
      </c>
      <c r="J15" s="53">
        <f t="shared" si="4"/>
        <v>0</v>
      </c>
      <c r="K15" s="53">
        <f t="shared" si="4"/>
        <v>0</v>
      </c>
      <c r="L15" s="53">
        <f t="shared" si="4"/>
        <v>10000</v>
      </c>
      <c r="M15" s="53">
        <f t="shared" si="4"/>
        <v>0</v>
      </c>
      <c r="N15" s="53">
        <f t="shared" si="4"/>
        <v>5000</v>
      </c>
      <c r="O15" s="53">
        <f t="shared" si="4"/>
        <v>0</v>
      </c>
      <c r="P15" s="53">
        <f t="shared" si="4"/>
        <v>0</v>
      </c>
      <c r="Q15" s="53">
        <f t="shared" si="4"/>
        <v>0</v>
      </c>
      <c r="R15" s="53">
        <f t="shared" si="4"/>
        <v>0</v>
      </c>
      <c r="S15" s="53">
        <f t="shared" si="4"/>
        <v>0</v>
      </c>
      <c r="T15" s="53">
        <f t="shared" si="4"/>
        <v>0</v>
      </c>
      <c r="U15" s="53">
        <f t="shared" si="4"/>
        <v>0</v>
      </c>
      <c r="V15" s="53">
        <f>SUM(V14)</f>
        <v>15000</v>
      </c>
    </row>
    <row r="16" spans="1:22" ht="13.5">
      <c r="A16" s="514" t="s">
        <v>273</v>
      </c>
      <c r="B16" s="515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>
        <f>SUM(F16:U16)</f>
        <v>0</v>
      </c>
    </row>
    <row r="17" spans="1:22" ht="13.5">
      <c r="A17" s="512" t="s">
        <v>231</v>
      </c>
      <c r="B17" s="513"/>
      <c r="C17" s="53">
        <f>SUM(C16)</f>
        <v>0</v>
      </c>
      <c r="D17" s="53">
        <f aca="true" t="shared" si="5" ref="D17:V17">SUM(D16)</f>
        <v>0</v>
      </c>
      <c r="E17" s="53">
        <f t="shared" si="5"/>
        <v>0</v>
      </c>
      <c r="F17" s="53">
        <f t="shared" si="5"/>
        <v>0</v>
      </c>
      <c r="G17" s="53">
        <f t="shared" si="5"/>
        <v>0</v>
      </c>
      <c r="H17" s="53">
        <f t="shared" si="5"/>
        <v>0</v>
      </c>
      <c r="I17" s="53">
        <f t="shared" si="5"/>
        <v>0</v>
      </c>
      <c r="J17" s="53">
        <f t="shared" si="5"/>
        <v>0</v>
      </c>
      <c r="K17" s="53">
        <f t="shared" si="5"/>
        <v>0</v>
      </c>
      <c r="L17" s="53">
        <f t="shared" si="5"/>
        <v>0</v>
      </c>
      <c r="M17" s="53">
        <f t="shared" si="5"/>
        <v>0</v>
      </c>
      <c r="N17" s="53">
        <f t="shared" si="5"/>
        <v>0</v>
      </c>
      <c r="O17" s="53">
        <f t="shared" si="5"/>
        <v>0</v>
      </c>
      <c r="P17" s="53">
        <f t="shared" si="5"/>
        <v>0</v>
      </c>
      <c r="Q17" s="53">
        <f t="shared" si="5"/>
        <v>0</v>
      </c>
      <c r="R17" s="53">
        <f t="shared" si="5"/>
        <v>0</v>
      </c>
      <c r="S17" s="53">
        <f t="shared" si="5"/>
        <v>0</v>
      </c>
      <c r="T17" s="53">
        <f t="shared" si="5"/>
        <v>0</v>
      </c>
      <c r="U17" s="53">
        <f t="shared" si="5"/>
        <v>0</v>
      </c>
      <c r="V17" s="53">
        <f t="shared" si="5"/>
        <v>0</v>
      </c>
    </row>
    <row r="18" spans="1:22" ht="13.5">
      <c r="A18" s="514" t="s">
        <v>275</v>
      </c>
      <c r="B18" s="51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13.5">
      <c r="A19" s="512" t="s">
        <v>231</v>
      </c>
      <c r="B19" s="513"/>
      <c r="C19" s="53">
        <f>SUM(C18)</f>
        <v>0</v>
      </c>
      <c r="D19" s="53">
        <f aca="true" t="shared" si="6" ref="D19:V19">SUM(D18)</f>
        <v>0</v>
      </c>
      <c r="E19" s="53">
        <f t="shared" si="6"/>
        <v>0</v>
      </c>
      <c r="F19" s="53">
        <f t="shared" si="6"/>
        <v>0</v>
      </c>
      <c r="G19" s="53">
        <f t="shared" si="6"/>
        <v>0</v>
      </c>
      <c r="H19" s="53">
        <f t="shared" si="6"/>
        <v>0</v>
      </c>
      <c r="I19" s="53">
        <f t="shared" si="6"/>
        <v>0</v>
      </c>
      <c r="J19" s="53">
        <f t="shared" si="6"/>
        <v>0</v>
      </c>
      <c r="K19" s="53">
        <f t="shared" si="6"/>
        <v>0</v>
      </c>
      <c r="L19" s="53">
        <f t="shared" si="6"/>
        <v>0</v>
      </c>
      <c r="M19" s="53">
        <f t="shared" si="6"/>
        <v>0</v>
      </c>
      <c r="N19" s="53">
        <f t="shared" si="6"/>
        <v>0</v>
      </c>
      <c r="O19" s="53">
        <f t="shared" si="6"/>
        <v>0</v>
      </c>
      <c r="P19" s="53">
        <f t="shared" si="6"/>
        <v>0</v>
      </c>
      <c r="Q19" s="53">
        <f t="shared" si="6"/>
        <v>0</v>
      </c>
      <c r="R19" s="53">
        <f t="shared" si="6"/>
        <v>0</v>
      </c>
      <c r="S19" s="53">
        <f t="shared" si="6"/>
        <v>0</v>
      </c>
      <c r="T19" s="53">
        <f t="shared" si="6"/>
        <v>0</v>
      </c>
      <c r="U19" s="53">
        <f t="shared" si="6"/>
        <v>0</v>
      </c>
      <c r="V19" s="53">
        <f t="shared" si="6"/>
        <v>0</v>
      </c>
    </row>
    <row r="20" spans="1:22" ht="13.5">
      <c r="A20" s="514" t="s">
        <v>276</v>
      </c>
      <c r="B20" s="515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ht="13.5">
      <c r="A21" s="512" t="s">
        <v>231</v>
      </c>
      <c r="B21" s="513"/>
      <c r="C21" s="53">
        <f>SUM(C20)</f>
        <v>0</v>
      </c>
      <c r="D21" s="53">
        <f aca="true" t="shared" si="7" ref="D21:V21">SUM(D20)</f>
        <v>0</v>
      </c>
      <c r="E21" s="53">
        <f t="shared" si="7"/>
        <v>0</v>
      </c>
      <c r="F21" s="53">
        <f t="shared" si="7"/>
        <v>0</v>
      </c>
      <c r="G21" s="53">
        <f t="shared" si="7"/>
        <v>0</v>
      </c>
      <c r="H21" s="53">
        <f t="shared" si="7"/>
        <v>0</v>
      </c>
      <c r="I21" s="53">
        <f t="shared" si="7"/>
        <v>0</v>
      </c>
      <c r="J21" s="53">
        <f t="shared" si="7"/>
        <v>0</v>
      </c>
      <c r="K21" s="53">
        <f t="shared" si="7"/>
        <v>0</v>
      </c>
      <c r="L21" s="53">
        <f t="shared" si="7"/>
        <v>0</v>
      </c>
      <c r="M21" s="53">
        <f t="shared" si="7"/>
        <v>0</v>
      </c>
      <c r="N21" s="53">
        <f t="shared" si="7"/>
        <v>0</v>
      </c>
      <c r="O21" s="53">
        <f t="shared" si="7"/>
        <v>0</v>
      </c>
      <c r="P21" s="53">
        <f t="shared" si="7"/>
        <v>0</v>
      </c>
      <c r="Q21" s="53">
        <f t="shared" si="7"/>
        <v>0</v>
      </c>
      <c r="R21" s="53">
        <f t="shared" si="7"/>
        <v>0</v>
      </c>
      <c r="S21" s="53">
        <f t="shared" si="7"/>
        <v>0</v>
      </c>
      <c r="T21" s="53">
        <f t="shared" si="7"/>
        <v>0</v>
      </c>
      <c r="U21" s="53">
        <f t="shared" si="7"/>
        <v>0</v>
      </c>
      <c r="V21" s="53">
        <f t="shared" si="7"/>
        <v>0</v>
      </c>
    </row>
    <row r="22" spans="1:22" ht="13.5">
      <c r="A22" s="514" t="s">
        <v>277</v>
      </c>
      <c r="B22" s="515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>
        <f>SUM(C22:U22)</f>
        <v>0</v>
      </c>
    </row>
    <row r="23" spans="1:22" ht="13.5">
      <c r="A23" s="512" t="s">
        <v>231</v>
      </c>
      <c r="B23" s="513"/>
      <c r="C23" s="53">
        <f>SUM(C22)</f>
        <v>0</v>
      </c>
      <c r="D23" s="53">
        <f>SUM(D22)</f>
        <v>0</v>
      </c>
      <c r="E23" s="53">
        <f>SUM(E22)</f>
        <v>0</v>
      </c>
      <c r="F23" s="53">
        <f>SUM(F22)</f>
        <v>0</v>
      </c>
      <c r="G23" s="53">
        <f aca="true" t="shared" si="8" ref="G23:V23">SUM(G22)</f>
        <v>0</v>
      </c>
      <c r="H23" s="53">
        <f t="shared" si="8"/>
        <v>0</v>
      </c>
      <c r="I23" s="53">
        <f t="shared" si="8"/>
        <v>0</v>
      </c>
      <c r="J23" s="53">
        <f t="shared" si="8"/>
        <v>0</v>
      </c>
      <c r="K23" s="53">
        <f t="shared" si="8"/>
        <v>0</v>
      </c>
      <c r="L23" s="53">
        <f t="shared" si="8"/>
        <v>0</v>
      </c>
      <c r="M23" s="53">
        <f t="shared" si="8"/>
        <v>0</v>
      </c>
      <c r="N23" s="53">
        <f t="shared" si="8"/>
        <v>0</v>
      </c>
      <c r="O23" s="53">
        <f t="shared" si="8"/>
        <v>0</v>
      </c>
      <c r="P23" s="53">
        <f t="shared" si="8"/>
        <v>0</v>
      </c>
      <c r="Q23" s="53">
        <f t="shared" si="8"/>
        <v>0</v>
      </c>
      <c r="R23" s="53">
        <f t="shared" si="8"/>
        <v>0</v>
      </c>
      <c r="S23" s="53">
        <f t="shared" si="8"/>
        <v>0</v>
      </c>
      <c r="T23" s="53">
        <f t="shared" si="8"/>
        <v>0</v>
      </c>
      <c r="U23" s="53">
        <f t="shared" si="8"/>
        <v>0</v>
      </c>
      <c r="V23" s="53">
        <f t="shared" si="8"/>
        <v>0</v>
      </c>
    </row>
    <row r="24" spans="1:22" ht="13.5">
      <c r="A24" s="514" t="s">
        <v>278</v>
      </c>
      <c r="B24" s="515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13.5">
      <c r="A25" s="512" t="s">
        <v>231</v>
      </c>
      <c r="B25" s="513"/>
      <c r="C25" s="53">
        <f>SUM(C24)</f>
        <v>0</v>
      </c>
      <c r="D25" s="53">
        <f aca="true" t="shared" si="9" ref="D25:V25">SUM(D24)</f>
        <v>0</v>
      </c>
      <c r="E25" s="53">
        <f t="shared" si="9"/>
        <v>0</v>
      </c>
      <c r="F25" s="53">
        <f t="shared" si="9"/>
        <v>0</v>
      </c>
      <c r="G25" s="53">
        <f t="shared" si="9"/>
        <v>0</v>
      </c>
      <c r="H25" s="53">
        <f t="shared" si="9"/>
        <v>0</v>
      </c>
      <c r="I25" s="53">
        <f t="shared" si="9"/>
        <v>0</v>
      </c>
      <c r="J25" s="53">
        <f t="shared" si="9"/>
        <v>0</v>
      </c>
      <c r="K25" s="53">
        <f t="shared" si="9"/>
        <v>0</v>
      </c>
      <c r="L25" s="53">
        <f t="shared" si="9"/>
        <v>0</v>
      </c>
      <c r="M25" s="53">
        <f t="shared" si="9"/>
        <v>0</v>
      </c>
      <c r="N25" s="53">
        <f t="shared" si="9"/>
        <v>0</v>
      </c>
      <c r="O25" s="53">
        <f t="shared" si="9"/>
        <v>0</v>
      </c>
      <c r="P25" s="53">
        <f t="shared" si="9"/>
        <v>0</v>
      </c>
      <c r="Q25" s="53">
        <f t="shared" si="9"/>
        <v>0</v>
      </c>
      <c r="R25" s="53">
        <f t="shared" si="9"/>
        <v>0</v>
      </c>
      <c r="S25" s="53">
        <f t="shared" si="9"/>
        <v>0</v>
      </c>
      <c r="T25" s="53">
        <f t="shared" si="9"/>
        <v>0</v>
      </c>
      <c r="U25" s="53">
        <f t="shared" si="9"/>
        <v>0</v>
      </c>
      <c r="V25" s="53">
        <f t="shared" si="9"/>
        <v>0</v>
      </c>
    </row>
    <row r="26" spans="1:22" ht="13.5">
      <c r="A26" s="514" t="s">
        <v>282</v>
      </c>
      <c r="B26" s="515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3.5">
      <c r="A27" s="512" t="s">
        <v>231</v>
      </c>
      <c r="B27" s="513"/>
      <c r="C27" s="53">
        <f>SUM(C26)</f>
        <v>0</v>
      </c>
      <c r="D27" s="53">
        <f aca="true" t="shared" si="10" ref="D27:V27">SUM(D26)</f>
        <v>0</v>
      </c>
      <c r="E27" s="53">
        <f t="shared" si="10"/>
        <v>0</v>
      </c>
      <c r="F27" s="53">
        <f t="shared" si="10"/>
        <v>0</v>
      </c>
      <c r="G27" s="53">
        <f t="shared" si="10"/>
        <v>0</v>
      </c>
      <c r="H27" s="53">
        <f t="shared" si="10"/>
        <v>0</v>
      </c>
      <c r="I27" s="53">
        <f t="shared" si="10"/>
        <v>0</v>
      </c>
      <c r="J27" s="53">
        <f t="shared" si="10"/>
        <v>0</v>
      </c>
      <c r="K27" s="53">
        <f t="shared" si="10"/>
        <v>0</v>
      </c>
      <c r="L27" s="53">
        <f t="shared" si="10"/>
        <v>0</v>
      </c>
      <c r="M27" s="53">
        <f t="shared" si="10"/>
        <v>0</v>
      </c>
      <c r="N27" s="53">
        <f t="shared" si="10"/>
        <v>0</v>
      </c>
      <c r="O27" s="53">
        <f t="shared" si="10"/>
        <v>0</v>
      </c>
      <c r="P27" s="53">
        <f t="shared" si="10"/>
        <v>0</v>
      </c>
      <c r="Q27" s="53">
        <f t="shared" si="10"/>
        <v>0</v>
      </c>
      <c r="R27" s="53">
        <f t="shared" si="10"/>
        <v>0</v>
      </c>
      <c r="S27" s="53">
        <f t="shared" si="10"/>
        <v>0</v>
      </c>
      <c r="T27" s="53">
        <f t="shared" si="10"/>
        <v>0</v>
      </c>
      <c r="U27" s="53">
        <f t="shared" si="10"/>
        <v>0</v>
      </c>
      <c r="V27" s="53">
        <f t="shared" si="10"/>
        <v>0</v>
      </c>
    </row>
    <row r="28" spans="1:22" ht="13.5">
      <c r="A28" s="510" t="s">
        <v>230</v>
      </c>
      <c r="B28" s="511"/>
      <c r="C28" s="51">
        <f>SUM(C6,C8,C10,C12,C14,C16,C18,C20,C22,C24,C26)</f>
        <v>0</v>
      </c>
      <c r="D28" s="51">
        <f>SUM(D6,D8,D10,D12,D14,D16,D18,D20,D22,D24,D26)</f>
        <v>0</v>
      </c>
      <c r="E28" s="51">
        <f aca="true" t="shared" si="11" ref="E28:U28">SUM(E6,E8,E10,E12,E14,E16,E18,E20,E22,E24,E26)</f>
        <v>0</v>
      </c>
      <c r="F28" s="51">
        <f t="shared" si="11"/>
        <v>0</v>
      </c>
      <c r="G28" s="51">
        <f t="shared" si="11"/>
        <v>0</v>
      </c>
      <c r="H28" s="51">
        <f t="shared" si="11"/>
        <v>0</v>
      </c>
      <c r="I28" s="51">
        <f t="shared" si="11"/>
        <v>0</v>
      </c>
      <c r="J28" s="51">
        <f t="shared" si="11"/>
        <v>0</v>
      </c>
      <c r="K28" s="51">
        <f t="shared" si="11"/>
        <v>0</v>
      </c>
      <c r="L28" s="51">
        <f>SUM(L6,L8,L10,L12,L14,L16,L18,L20,L22,L24,L26)</f>
        <v>10000</v>
      </c>
      <c r="M28" s="51">
        <f t="shared" si="11"/>
        <v>0</v>
      </c>
      <c r="N28" s="51">
        <f t="shared" si="11"/>
        <v>5000</v>
      </c>
      <c r="O28" s="51">
        <f aca="true" t="shared" si="12" ref="O28:T28">SUM(O6,O8,O10,O12,O14,O16,O18,O20,O22,O24,O26)</f>
        <v>0</v>
      </c>
      <c r="P28" s="51">
        <f t="shared" si="12"/>
        <v>0</v>
      </c>
      <c r="Q28" s="51">
        <f t="shared" si="12"/>
        <v>0</v>
      </c>
      <c r="R28" s="51">
        <f t="shared" si="12"/>
        <v>0</v>
      </c>
      <c r="S28" s="51">
        <f t="shared" si="12"/>
        <v>0</v>
      </c>
      <c r="T28" s="51">
        <f t="shared" si="12"/>
        <v>0</v>
      </c>
      <c r="U28" s="51">
        <f t="shared" si="11"/>
        <v>0</v>
      </c>
      <c r="V28" s="51">
        <f>SUM(V6,V8,V10,V12,V14,V16,V18,V20,V22,V24,V26)</f>
        <v>15000</v>
      </c>
    </row>
    <row r="29" spans="1:22" ht="13.5">
      <c r="A29" s="510" t="s">
        <v>231</v>
      </c>
      <c r="B29" s="511"/>
      <c r="C29" s="51">
        <f>+C27+C25+C23+C21+C19+C17+C15+C13+C11+C9+C7</f>
        <v>0</v>
      </c>
      <c r="D29" s="51">
        <f>+D27+D25+D23+D21+D19+D17+D15+D13+D11+D9+D7</f>
        <v>0</v>
      </c>
      <c r="E29" s="51">
        <f>+E27+E25+E23+E21+E19+E17+E15+E13+E11+E9+E7</f>
        <v>0</v>
      </c>
      <c r="F29" s="51">
        <f>+F27+F25+F23+F21+F19+F17+F15+F13+F11+F9+F7</f>
        <v>0</v>
      </c>
      <c r="G29" s="51">
        <f>+G27+G25+G23+G21+G19+G17+G15+G13+G11+G9+G7</f>
        <v>0</v>
      </c>
      <c r="H29" s="51">
        <f>+H27+H25+H23+H21+H19+H17+H15+H13+H11+H9+H7</f>
        <v>0</v>
      </c>
      <c r="I29" s="51">
        <f>+I27+I25+I23+I21+I19+I17+I15+I13+I11+I9+I7</f>
        <v>0</v>
      </c>
      <c r="J29" s="51">
        <f>+J27+J25+J23+J21+J19+J17+J15+J13+J11+J9+J7</f>
        <v>0</v>
      </c>
      <c r="K29" s="51">
        <f>+K27+K25+K23+K21+K19+K17+K15+K13+K11+K9+K7</f>
        <v>0</v>
      </c>
      <c r="L29" s="51">
        <f>+L27+L25+L23+L21+L19+L17+L15+L13+L11+L9+L7</f>
        <v>10000</v>
      </c>
      <c r="M29" s="51">
        <f aca="true" t="shared" si="13" ref="M29:U29">+M27+M25+M23+M21+M19+M17+M15+M13+M11+M9+M7</f>
        <v>0</v>
      </c>
      <c r="N29" s="51">
        <f t="shared" si="13"/>
        <v>5000</v>
      </c>
      <c r="O29" s="51">
        <f t="shared" si="13"/>
        <v>0</v>
      </c>
      <c r="P29" s="51">
        <f t="shared" si="13"/>
        <v>0</v>
      </c>
      <c r="Q29" s="51">
        <f t="shared" si="13"/>
        <v>0</v>
      </c>
      <c r="R29" s="51">
        <f t="shared" si="13"/>
        <v>0</v>
      </c>
      <c r="S29" s="51">
        <f t="shared" si="13"/>
        <v>0</v>
      </c>
      <c r="T29" s="51">
        <f t="shared" si="13"/>
        <v>0</v>
      </c>
      <c r="U29" s="51">
        <f t="shared" si="13"/>
        <v>0</v>
      </c>
      <c r="V29" s="51">
        <f>+V27+V25+V23+V21+V19+V17+V15+V13+V11+V9+V7</f>
        <v>15000</v>
      </c>
    </row>
    <row r="30" spans="1:22" ht="13.5">
      <c r="A30" s="516" t="s">
        <v>192</v>
      </c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</row>
    <row r="31" spans="1:22" ht="13.5">
      <c r="A31" s="516" t="s">
        <v>286</v>
      </c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</row>
    <row r="32" spans="1:22" ht="13.5">
      <c r="A32" s="517" t="s">
        <v>523</v>
      </c>
      <c r="B32" s="517"/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</row>
    <row r="33" spans="1:22" ht="13.5">
      <c r="A33" s="518" t="s">
        <v>194</v>
      </c>
      <c r="B33" s="518"/>
      <c r="C33" s="519" t="s">
        <v>196</v>
      </c>
      <c r="D33" s="519"/>
      <c r="E33" s="336" t="s">
        <v>199</v>
      </c>
      <c r="F33" s="519" t="s">
        <v>201</v>
      </c>
      <c r="G33" s="518"/>
      <c r="H33" s="519" t="s">
        <v>215</v>
      </c>
      <c r="I33" s="518"/>
      <c r="J33" s="336" t="s">
        <v>216</v>
      </c>
      <c r="K33" s="520" t="s">
        <v>217</v>
      </c>
      <c r="L33" s="521"/>
      <c r="M33" s="522"/>
      <c r="N33" s="336" t="s">
        <v>218</v>
      </c>
      <c r="O33" s="520" t="s">
        <v>219</v>
      </c>
      <c r="P33" s="521"/>
      <c r="Q33" s="522"/>
      <c r="R33" s="519" t="s">
        <v>220</v>
      </c>
      <c r="S33" s="518"/>
      <c r="T33" s="336" t="s">
        <v>284</v>
      </c>
      <c r="U33" s="336" t="s">
        <v>221</v>
      </c>
      <c r="V33" s="523" t="s">
        <v>17</v>
      </c>
    </row>
    <row r="34" spans="1:22" ht="13.5">
      <c r="A34" s="518" t="s">
        <v>195</v>
      </c>
      <c r="B34" s="518"/>
      <c r="C34" s="336" t="s">
        <v>197</v>
      </c>
      <c r="D34" s="336" t="s">
        <v>198</v>
      </c>
      <c r="E34" s="336" t="s">
        <v>200</v>
      </c>
      <c r="F34" s="336" t="s">
        <v>202</v>
      </c>
      <c r="G34" s="336" t="s">
        <v>203</v>
      </c>
      <c r="H34" s="336" t="s">
        <v>204</v>
      </c>
      <c r="I34" s="336" t="s">
        <v>205</v>
      </c>
      <c r="J34" s="336" t="s">
        <v>206</v>
      </c>
      <c r="K34" s="336" t="s">
        <v>207</v>
      </c>
      <c r="L34" s="336" t="s">
        <v>208</v>
      </c>
      <c r="M34" s="336" t="s">
        <v>334</v>
      </c>
      <c r="N34" s="336" t="s">
        <v>209</v>
      </c>
      <c r="O34" s="336" t="s">
        <v>210</v>
      </c>
      <c r="P34" s="336" t="s">
        <v>211</v>
      </c>
      <c r="Q34" s="336" t="s">
        <v>290</v>
      </c>
      <c r="R34" s="336" t="s">
        <v>212</v>
      </c>
      <c r="S34" s="336" t="s">
        <v>213</v>
      </c>
      <c r="T34" s="336" t="s">
        <v>285</v>
      </c>
      <c r="U34" s="336" t="s">
        <v>214</v>
      </c>
      <c r="V34" s="523"/>
    </row>
    <row r="35" spans="1:22" ht="13.5">
      <c r="A35" s="514" t="s">
        <v>268</v>
      </c>
      <c r="B35" s="515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5">
        <v>172347.83</v>
      </c>
      <c r="V35" s="55">
        <f>SUM(C35:U35)</f>
        <v>172347.83</v>
      </c>
    </row>
    <row r="36" spans="1:22" ht="13.5">
      <c r="A36" s="512" t="s">
        <v>231</v>
      </c>
      <c r="B36" s="513"/>
      <c r="C36" s="53">
        <f>SUM(C35)</f>
        <v>0</v>
      </c>
      <c r="D36" s="53">
        <f aca="true" t="shared" si="14" ref="D36:U36">SUM(D35)</f>
        <v>0</v>
      </c>
      <c r="E36" s="53">
        <f t="shared" si="14"/>
        <v>0</v>
      </c>
      <c r="F36" s="53">
        <f t="shared" si="14"/>
        <v>0</v>
      </c>
      <c r="G36" s="53">
        <f t="shared" si="14"/>
        <v>0</v>
      </c>
      <c r="H36" s="53">
        <f t="shared" si="14"/>
        <v>0</v>
      </c>
      <c r="I36" s="53">
        <f t="shared" si="14"/>
        <v>0</v>
      </c>
      <c r="J36" s="53">
        <f t="shared" si="14"/>
        <v>0</v>
      </c>
      <c r="K36" s="53">
        <f t="shared" si="14"/>
        <v>0</v>
      </c>
      <c r="L36" s="53">
        <f t="shared" si="14"/>
        <v>0</v>
      </c>
      <c r="M36" s="53">
        <f t="shared" si="14"/>
        <v>0</v>
      </c>
      <c r="N36" s="53">
        <f t="shared" si="14"/>
        <v>0</v>
      </c>
      <c r="O36" s="53">
        <f t="shared" si="14"/>
        <v>0</v>
      </c>
      <c r="P36" s="53">
        <f t="shared" si="14"/>
        <v>0</v>
      </c>
      <c r="Q36" s="53">
        <f t="shared" si="14"/>
        <v>0</v>
      </c>
      <c r="R36" s="53">
        <f t="shared" si="14"/>
        <v>0</v>
      </c>
      <c r="S36" s="53">
        <f t="shared" si="14"/>
        <v>0</v>
      </c>
      <c r="T36" s="53">
        <f t="shared" si="14"/>
        <v>0</v>
      </c>
      <c r="U36" s="53">
        <f t="shared" si="14"/>
        <v>172347.83</v>
      </c>
      <c r="V36" s="53">
        <f>SUM(V35)</f>
        <v>172347.83</v>
      </c>
    </row>
    <row r="37" spans="1:22" ht="13.5">
      <c r="A37" s="514" t="s">
        <v>269</v>
      </c>
      <c r="B37" s="51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>
        <f>SUM(C37:U37)</f>
        <v>0</v>
      </c>
    </row>
    <row r="38" spans="1:22" ht="13.5">
      <c r="A38" s="512" t="s">
        <v>231</v>
      </c>
      <c r="B38" s="513"/>
      <c r="C38" s="53">
        <f>SUM(C37)</f>
        <v>0</v>
      </c>
      <c r="D38" s="53">
        <f aca="true" t="shared" si="15" ref="D38:U38">SUM(D37)</f>
        <v>0</v>
      </c>
      <c r="E38" s="53">
        <f t="shared" si="15"/>
        <v>0</v>
      </c>
      <c r="F38" s="53">
        <f t="shared" si="15"/>
        <v>0</v>
      </c>
      <c r="G38" s="53">
        <f t="shared" si="15"/>
        <v>0</v>
      </c>
      <c r="H38" s="53">
        <f t="shared" si="15"/>
        <v>0</v>
      </c>
      <c r="I38" s="53">
        <f t="shared" si="15"/>
        <v>0</v>
      </c>
      <c r="J38" s="53">
        <f t="shared" si="15"/>
        <v>0</v>
      </c>
      <c r="K38" s="53">
        <f t="shared" si="15"/>
        <v>0</v>
      </c>
      <c r="L38" s="53">
        <f t="shared" si="15"/>
        <v>0</v>
      </c>
      <c r="M38" s="53">
        <f t="shared" si="15"/>
        <v>0</v>
      </c>
      <c r="N38" s="53">
        <f t="shared" si="15"/>
        <v>0</v>
      </c>
      <c r="O38" s="53">
        <f t="shared" si="15"/>
        <v>0</v>
      </c>
      <c r="P38" s="53">
        <f t="shared" si="15"/>
        <v>0</v>
      </c>
      <c r="Q38" s="53">
        <f t="shared" si="15"/>
        <v>0</v>
      </c>
      <c r="R38" s="53">
        <f t="shared" si="15"/>
        <v>0</v>
      </c>
      <c r="S38" s="53">
        <f t="shared" si="15"/>
        <v>0</v>
      </c>
      <c r="T38" s="53">
        <f t="shared" si="15"/>
        <v>0</v>
      </c>
      <c r="U38" s="53">
        <f t="shared" si="15"/>
        <v>0</v>
      </c>
      <c r="V38" s="53">
        <f>SUM(V37)</f>
        <v>0</v>
      </c>
    </row>
    <row r="39" spans="1:22" ht="13.5">
      <c r="A39" s="514" t="s">
        <v>270</v>
      </c>
      <c r="B39" s="515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1:22" ht="13.5">
      <c r="A40" s="512" t="s">
        <v>231</v>
      </c>
      <c r="B40" s="513"/>
      <c r="C40" s="53">
        <f>SUM(C39)</f>
        <v>0</v>
      </c>
      <c r="D40" s="53">
        <f aca="true" t="shared" si="16" ref="D40:U40">SUM(D39)</f>
        <v>0</v>
      </c>
      <c r="E40" s="53">
        <f t="shared" si="16"/>
        <v>0</v>
      </c>
      <c r="F40" s="53">
        <f t="shared" si="16"/>
        <v>0</v>
      </c>
      <c r="G40" s="53">
        <f t="shared" si="16"/>
        <v>0</v>
      </c>
      <c r="H40" s="53">
        <f t="shared" si="16"/>
        <v>0</v>
      </c>
      <c r="I40" s="53">
        <f t="shared" si="16"/>
        <v>0</v>
      </c>
      <c r="J40" s="53">
        <f t="shared" si="16"/>
        <v>0</v>
      </c>
      <c r="K40" s="53">
        <f t="shared" si="16"/>
        <v>0</v>
      </c>
      <c r="L40" s="53">
        <f t="shared" si="16"/>
        <v>0</v>
      </c>
      <c r="M40" s="53">
        <f t="shared" si="16"/>
        <v>0</v>
      </c>
      <c r="N40" s="53">
        <f t="shared" si="16"/>
        <v>0</v>
      </c>
      <c r="O40" s="53">
        <f t="shared" si="16"/>
        <v>0</v>
      </c>
      <c r="P40" s="53">
        <f t="shared" si="16"/>
        <v>0</v>
      </c>
      <c r="Q40" s="53">
        <f t="shared" si="16"/>
        <v>0</v>
      </c>
      <c r="R40" s="53">
        <f t="shared" si="16"/>
        <v>0</v>
      </c>
      <c r="S40" s="53">
        <f t="shared" si="16"/>
        <v>0</v>
      </c>
      <c r="T40" s="53">
        <f t="shared" si="16"/>
        <v>0</v>
      </c>
      <c r="U40" s="53">
        <f t="shared" si="16"/>
        <v>0</v>
      </c>
      <c r="V40" s="53">
        <f>SUM(V39)</f>
        <v>0</v>
      </c>
    </row>
    <row r="41" spans="1:22" ht="13.5">
      <c r="A41" s="514" t="s">
        <v>271</v>
      </c>
      <c r="B41" s="515"/>
      <c r="C41" s="54"/>
      <c r="D41" s="54"/>
      <c r="E41" s="54"/>
      <c r="F41" s="54">
        <v>0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ht="13.5">
      <c r="A42" s="512" t="s">
        <v>231</v>
      </c>
      <c r="B42" s="513"/>
      <c r="C42" s="53">
        <f>SUM(C41)</f>
        <v>0</v>
      </c>
      <c r="D42" s="53">
        <f>SUM(D41)</f>
        <v>0</v>
      </c>
      <c r="E42" s="53">
        <f>SUM(E41)</f>
        <v>0</v>
      </c>
      <c r="F42" s="53">
        <f>SUM(F41)</f>
        <v>0</v>
      </c>
      <c r="G42" s="53">
        <f aca="true" t="shared" si="17" ref="G42:V42">SUM(G41)</f>
        <v>0</v>
      </c>
      <c r="H42" s="53">
        <f t="shared" si="17"/>
        <v>0</v>
      </c>
      <c r="I42" s="53">
        <f t="shared" si="17"/>
        <v>0</v>
      </c>
      <c r="J42" s="53">
        <f t="shared" si="17"/>
        <v>0</v>
      </c>
      <c r="K42" s="53">
        <f t="shared" si="17"/>
        <v>0</v>
      </c>
      <c r="L42" s="53">
        <f t="shared" si="17"/>
        <v>0</v>
      </c>
      <c r="M42" s="53">
        <f t="shared" si="17"/>
        <v>0</v>
      </c>
      <c r="N42" s="53">
        <f t="shared" si="17"/>
        <v>0</v>
      </c>
      <c r="O42" s="53">
        <f t="shared" si="17"/>
        <v>0</v>
      </c>
      <c r="P42" s="53">
        <f t="shared" si="17"/>
        <v>0</v>
      </c>
      <c r="Q42" s="53">
        <f t="shared" si="17"/>
        <v>0</v>
      </c>
      <c r="R42" s="53">
        <f t="shared" si="17"/>
        <v>0</v>
      </c>
      <c r="S42" s="53">
        <f t="shared" si="17"/>
        <v>0</v>
      </c>
      <c r="T42" s="53">
        <f t="shared" si="17"/>
        <v>0</v>
      </c>
      <c r="U42" s="53">
        <f t="shared" si="17"/>
        <v>0</v>
      </c>
      <c r="V42" s="53">
        <f t="shared" si="17"/>
        <v>0</v>
      </c>
    </row>
    <row r="43" spans="1:22" ht="13.5">
      <c r="A43" s="514" t="s">
        <v>272</v>
      </c>
      <c r="B43" s="51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>
        <f>SUM(F43:U43)</f>
        <v>0</v>
      </c>
    </row>
    <row r="44" spans="1:22" ht="13.5">
      <c r="A44" s="512" t="s">
        <v>231</v>
      </c>
      <c r="B44" s="513"/>
      <c r="C44" s="53">
        <f>SUM(C43)</f>
        <v>0</v>
      </c>
      <c r="D44" s="53">
        <f>SUM(D43)</f>
        <v>0</v>
      </c>
      <c r="E44" s="53">
        <f>SUM(E43)</f>
        <v>0</v>
      </c>
      <c r="F44" s="53">
        <f>SUM(F43+F15)</f>
        <v>0</v>
      </c>
      <c r="G44" s="53">
        <f aca="true" t="shared" si="18" ref="G44:V44">SUM(G43+G15)</f>
        <v>0</v>
      </c>
      <c r="H44" s="53">
        <f t="shared" si="18"/>
        <v>0</v>
      </c>
      <c r="I44" s="53">
        <f t="shared" si="18"/>
        <v>0</v>
      </c>
      <c r="J44" s="53">
        <f t="shared" si="18"/>
        <v>0</v>
      </c>
      <c r="K44" s="53">
        <f t="shared" si="18"/>
        <v>0</v>
      </c>
      <c r="L44" s="53">
        <f t="shared" si="18"/>
        <v>10000</v>
      </c>
      <c r="M44" s="53">
        <f t="shared" si="18"/>
        <v>0</v>
      </c>
      <c r="N44" s="53">
        <f t="shared" si="18"/>
        <v>5000</v>
      </c>
      <c r="O44" s="53">
        <f t="shared" si="18"/>
        <v>0</v>
      </c>
      <c r="P44" s="53">
        <f t="shared" si="18"/>
        <v>0</v>
      </c>
      <c r="Q44" s="53">
        <f t="shared" si="18"/>
        <v>0</v>
      </c>
      <c r="R44" s="53">
        <f t="shared" si="18"/>
        <v>0</v>
      </c>
      <c r="S44" s="53">
        <f t="shared" si="18"/>
        <v>0</v>
      </c>
      <c r="T44" s="53">
        <f t="shared" si="18"/>
        <v>0</v>
      </c>
      <c r="U44" s="53">
        <f t="shared" si="18"/>
        <v>0</v>
      </c>
      <c r="V44" s="53">
        <f t="shared" si="18"/>
        <v>15000</v>
      </c>
    </row>
    <row r="45" spans="1:22" ht="13.5">
      <c r="A45" s="514" t="s">
        <v>273</v>
      </c>
      <c r="B45" s="515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>
        <f>SUM(F45:U45)</f>
        <v>0</v>
      </c>
    </row>
    <row r="46" spans="1:22" ht="13.5">
      <c r="A46" s="512" t="s">
        <v>231</v>
      </c>
      <c r="B46" s="513"/>
      <c r="C46" s="53">
        <f>SUM(C45)</f>
        <v>0</v>
      </c>
      <c r="D46" s="53">
        <f aca="true" t="shared" si="19" ref="D46:V46">SUM(D45)</f>
        <v>0</v>
      </c>
      <c r="E46" s="53">
        <f t="shared" si="19"/>
        <v>0</v>
      </c>
      <c r="F46" s="53">
        <f t="shared" si="19"/>
        <v>0</v>
      </c>
      <c r="G46" s="53">
        <f t="shared" si="19"/>
        <v>0</v>
      </c>
      <c r="H46" s="53">
        <f t="shared" si="19"/>
        <v>0</v>
      </c>
      <c r="I46" s="53">
        <f t="shared" si="19"/>
        <v>0</v>
      </c>
      <c r="J46" s="53">
        <f t="shared" si="19"/>
        <v>0</v>
      </c>
      <c r="K46" s="53">
        <f t="shared" si="19"/>
        <v>0</v>
      </c>
      <c r="L46" s="53">
        <f t="shared" si="19"/>
        <v>0</v>
      </c>
      <c r="M46" s="53">
        <f t="shared" si="19"/>
        <v>0</v>
      </c>
      <c r="N46" s="53">
        <f t="shared" si="19"/>
        <v>0</v>
      </c>
      <c r="O46" s="53">
        <f t="shared" si="19"/>
        <v>0</v>
      </c>
      <c r="P46" s="53">
        <f t="shared" si="19"/>
        <v>0</v>
      </c>
      <c r="Q46" s="53">
        <f t="shared" si="19"/>
        <v>0</v>
      </c>
      <c r="R46" s="53">
        <f t="shared" si="19"/>
        <v>0</v>
      </c>
      <c r="S46" s="53">
        <f t="shared" si="19"/>
        <v>0</v>
      </c>
      <c r="T46" s="53">
        <f t="shared" si="19"/>
        <v>0</v>
      </c>
      <c r="U46" s="53">
        <f t="shared" si="19"/>
        <v>0</v>
      </c>
      <c r="V46" s="53">
        <f t="shared" si="19"/>
        <v>0</v>
      </c>
    </row>
    <row r="47" spans="1:22" ht="13.5">
      <c r="A47" s="514" t="s">
        <v>275</v>
      </c>
      <c r="B47" s="515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 ht="13.5">
      <c r="A48" s="512" t="s">
        <v>231</v>
      </c>
      <c r="B48" s="513"/>
      <c r="C48" s="53">
        <f>SUM(C47)</f>
        <v>0</v>
      </c>
      <c r="D48" s="53">
        <f aca="true" t="shared" si="20" ref="D48:V48">SUM(D47)</f>
        <v>0</v>
      </c>
      <c r="E48" s="53">
        <f t="shared" si="20"/>
        <v>0</v>
      </c>
      <c r="F48" s="53">
        <f t="shared" si="20"/>
        <v>0</v>
      </c>
      <c r="G48" s="53">
        <f t="shared" si="20"/>
        <v>0</v>
      </c>
      <c r="H48" s="53">
        <f t="shared" si="20"/>
        <v>0</v>
      </c>
      <c r="I48" s="53">
        <f t="shared" si="20"/>
        <v>0</v>
      </c>
      <c r="J48" s="53">
        <f t="shared" si="20"/>
        <v>0</v>
      </c>
      <c r="K48" s="53">
        <f t="shared" si="20"/>
        <v>0</v>
      </c>
      <c r="L48" s="53">
        <f t="shared" si="20"/>
        <v>0</v>
      </c>
      <c r="M48" s="53">
        <f t="shared" si="20"/>
        <v>0</v>
      </c>
      <c r="N48" s="53">
        <f t="shared" si="20"/>
        <v>0</v>
      </c>
      <c r="O48" s="53">
        <f t="shared" si="20"/>
        <v>0</v>
      </c>
      <c r="P48" s="53">
        <f t="shared" si="20"/>
        <v>0</v>
      </c>
      <c r="Q48" s="53">
        <f t="shared" si="20"/>
        <v>0</v>
      </c>
      <c r="R48" s="53">
        <f t="shared" si="20"/>
        <v>0</v>
      </c>
      <c r="S48" s="53">
        <f t="shared" si="20"/>
        <v>0</v>
      </c>
      <c r="T48" s="53">
        <f t="shared" si="20"/>
        <v>0</v>
      </c>
      <c r="U48" s="53">
        <f t="shared" si="20"/>
        <v>0</v>
      </c>
      <c r="V48" s="53">
        <f t="shared" si="20"/>
        <v>0</v>
      </c>
    </row>
    <row r="49" spans="1:22" ht="13.5">
      <c r="A49" s="514" t="s">
        <v>276</v>
      </c>
      <c r="B49" s="515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 ht="13.5">
      <c r="A50" s="512" t="s">
        <v>231</v>
      </c>
      <c r="B50" s="513"/>
      <c r="C50" s="53">
        <f>SUM(C49)</f>
        <v>0</v>
      </c>
      <c r="D50" s="53">
        <f aca="true" t="shared" si="21" ref="D50:V50">SUM(D49)</f>
        <v>0</v>
      </c>
      <c r="E50" s="53">
        <f t="shared" si="21"/>
        <v>0</v>
      </c>
      <c r="F50" s="53">
        <f t="shared" si="21"/>
        <v>0</v>
      </c>
      <c r="G50" s="53">
        <f t="shared" si="21"/>
        <v>0</v>
      </c>
      <c r="H50" s="53">
        <f t="shared" si="21"/>
        <v>0</v>
      </c>
      <c r="I50" s="53">
        <f t="shared" si="21"/>
        <v>0</v>
      </c>
      <c r="J50" s="53">
        <f t="shared" si="21"/>
        <v>0</v>
      </c>
      <c r="K50" s="53">
        <f t="shared" si="21"/>
        <v>0</v>
      </c>
      <c r="L50" s="53">
        <f t="shared" si="21"/>
        <v>0</v>
      </c>
      <c r="M50" s="53">
        <f t="shared" si="21"/>
        <v>0</v>
      </c>
      <c r="N50" s="53">
        <f t="shared" si="21"/>
        <v>0</v>
      </c>
      <c r="O50" s="53">
        <f t="shared" si="21"/>
        <v>0</v>
      </c>
      <c r="P50" s="53">
        <f t="shared" si="21"/>
        <v>0</v>
      </c>
      <c r="Q50" s="53">
        <f t="shared" si="21"/>
        <v>0</v>
      </c>
      <c r="R50" s="53">
        <f t="shared" si="21"/>
        <v>0</v>
      </c>
      <c r="S50" s="53">
        <f t="shared" si="21"/>
        <v>0</v>
      </c>
      <c r="T50" s="53">
        <f t="shared" si="21"/>
        <v>0</v>
      </c>
      <c r="U50" s="53">
        <f t="shared" si="21"/>
        <v>0</v>
      </c>
      <c r="V50" s="53">
        <f t="shared" si="21"/>
        <v>0</v>
      </c>
    </row>
    <row r="51" spans="1:22" ht="13.5">
      <c r="A51" s="514" t="s">
        <v>277</v>
      </c>
      <c r="B51" s="515"/>
      <c r="C51" s="54"/>
      <c r="D51" s="54"/>
      <c r="E51" s="54"/>
      <c r="F51" s="54"/>
      <c r="G51" s="54"/>
      <c r="H51" s="54"/>
      <c r="I51" s="54"/>
      <c r="J51" s="54"/>
      <c r="K51" s="54"/>
      <c r="L51" s="54">
        <v>156500</v>
      </c>
      <c r="M51" s="54"/>
      <c r="N51" s="54"/>
      <c r="O51" s="54"/>
      <c r="P51" s="54"/>
      <c r="Q51" s="54"/>
      <c r="R51" s="54"/>
      <c r="S51" s="54"/>
      <c r="T51" s="54"/>
      <c r="U51" s="54"/>
      <c r="V51" s="54">
        <f>SUM(C51:U51)</f>
        <v>156500</v>
      </c>
    </row>
    <row r="52" spans="1:22" ht="13.5">
      <c r="A52" s="512" t="s">
        <v>231</v>
      </c>
      <c r="B52" s="513"/>
      <c r="C52" s="53">
        <f>SUM(C51+C23)</f>
        <v>0</v>
      </c>
      <c r="D52" s="53">
        <f>SUM(D51+D23)</f>
        <v>0</v>
      </c>
      <c r="E52" s="53">
        <f>SUM(E51+E23)</f>
        <v>0</v>
      </c>
      <c r="F52" s="53">
        <f>SUM(F51+F23)</f>
        <v>0</v>
      </c>
      <c r="G52" s="53">
        <f aca="true" t="shared" si="22" ref="G52:V52">SUM(G51)</f>
        <v>0</v>
      </c>
      <c r="H52" s="53">
        <f t="shared" si="22"/>
        <v>0</v>
      </c>
      <c r="I52" s="53">
        <f t="shared" si="22"/>
        <v>0</v>
      </c>
      <c r="J52" s="53">
        <f t="shared" si="22"/>
        <v>0</v>
      </c>
      <c r="K52" s="53">
        <f t="shared" si="22"/>
        <v>0</v>
      </c>
      <c r="L52" s="53">
        <f t="shared" si="22"/>
        <v>156500</v>
      </c>
      <c r="M52" s="53">
        <f t="shared" si="22"/>
        <v>0</v>
      </c>
      <c r="N52" s="53">
        <f t="shared" si="22"/>
        <v>0</v>
      </c>
      <c r="O52" s="53">
        <f t="shared" si="22"/>
        <v>0</v>
      </c>
      <c r="P52" s="53">
        <f t="shared" si="22"/>
        <v>0</v>
      </c>
      <c r="Q52" s="53">
        <f t="shared" si="22"/>
        <v>0</v>
      </c>
      <c r="R52" s="53">
        <f t="shared" si="22"/>
        <v>0</v>
      </c>
      <c r="S52" s="53">
        <f t="shared" si="22"/>
        <v>0</v>
      </c>
      <c r="T52" s="53">
        <f t="shared" si="22"/>
        <v>0</v>
      </c>
      <c r="U52" s="53">
        <f t="shared" si="22"/>
        <v>0</v>
      </c>
      <c r="V52" s="53">
        <f t="shared" si="22"/>
        <v>156500</v>
      </c>
    </row>
    <row r="53" spans="1:22" ht="13.5">
      <c r="A53" s="514" t="s">
        <v>278</v>
      </c>
      <c r="B53" s="515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ht="13.5">
      <c r="A54" s="512" t="s">
        <v>231</v>
      </c>
      <c r="B54" s="513"/>
      <c r="C54" s="53">
        <f>SUM(C53)</f>
        <v>0</v>
      </c>
      <c r="D54" s="53">
        <f aca="true" t="shared" si="23" ref="D54:V54">SUM(D53)</f>
        <v>0</v>
      </c>
      <c r="E54" s="53">
        <f t="shared" si="23"/>
        <v>0</v>
      </c>
      <c r="F54" s="53">
        <f t="shared" si="23"/>
        <v>0</v>
      </c>
      <c r="G54" s="53">
        <f t="shared" si="23"/>
        <v>0</v>
      </c>
      <c r="H54" s="53">
        <f t="shared" si="23"/>
        <v>0</v>
      </c>
      <c r="I54" s="53">
        <f t="shared" si="23"/>
        <v>0</v>
      </c>
      <c r="J54" s="53">
        <f t="shared" si="23"/>
        <v>0</v>
      </c>
      <c r="K54" s="53">
        <f t="shared" si="23"/>
        <v>0</v>
      </c>
      <c r="L54" s="53">
        <f t="shared" si="23"/>
        <v>0</v>
      </c>
      <c r="M54" s="53">
        <f t="shared" si="23"/>
        <v>0</v>
      </c>
      <c r="N54" s="53">
        <f t="shared" si="23"/>
        <v>0</v>
      </c>
      <c r="O54" s="53">
        <f t="shared" si="23"/>
        <v>0</v>
      </c>
      <c r="P54" s="53">
        <f t="shared" si="23"/>
        <v>0</v>
      </c>
      <c r="Q54" s="53">
        <f t="shared" si="23"/>
        <v>0</v>
      </c>
      <c r="R54" s="53">
        <f t="shared" si="23"/>
        <v>0</v>
      </c>
      <c r="S54" s="53">
        <f t="shared" si="23"/>
        <v>0</v>
      </c>
      <c r="T54" s="53">
        <f t="shared" si="23"/>
        <v>0</v>
      </c>
      <c r="U54" s="53">
        <f t="shared" si="23"/>
        <v>0</v>
      </c>
      <c r="V54" s="53">
        <f t="shared" si="23"/>
        <v>0</v>
      </c>
    </row>
    <row r="55" spans="1:22" ht="13.5">
      <c r="A55" s="514" t="s">
        <v>282</v>
      </c>
      <c r="B55" s="515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13.5">
      <c r="A56" s="512" t="s">
        <v>231</v>
      </c>
      <c r="B56" s="513"/>
      <c r="C56" s="53">
        <f>SUM(C55)</f>
        <v>0</v>
      </c>
      <c r="D56" s="53">
        <f aca="true" t="shared" si="24" ref="D56:V56">SUM(D55)</f>
        <v>0</v>
      </c>
      <c r="E56" s="53">
        <f t="shared" si="24"/>
        <v>0</v>
      </c>
      <c r="F56" s="53">
        <f t="shared" si="24"/>
        <v>0</v>
      </c>
      <c r="G56" s="53">
        <f t="shared" si="24"/>
        <v>0</v>
      </c>
      <c r="H56" s="53">
        <f t="shared" si="24"/>
        <v>0</v>
      </c>
      <c r="I56" s="53">
        <f t="shared" si="24"/>
        <v>0</v>
      </c>
      <c r="J56" s="53">
        <f t="shared" si="24"/>
        <v>0</v>
      </c>
      <c r="K56" s="53">
        <f t="shared" si="24"/>
        <v>0</v>
      </c>
      <c r="L56" s="53">
        <f t="shared" si="24"/>
        <v>0</v>
      </c>
      <c r="M56" s="53">
        <f t="shared" si="24"/>
        <v>0</v>
      </c>
      <c r="N56" s="53">
        <f t="shared" si="24"/>
        <v>0</v>
      </c>
      <c r="O56" s="53">
        <f t="shared" si="24"/>
        <v>0</v>
      </c>
      <c r="P56" s="53">
        <f t="shared" si="24"/>
        <v>0</v>
      </c>
      <c r="Q56" s="53">
        <f t="shared" si="24"/>
        <v>0</v>
      </c>
      <c r="R56" s="53">
        <f t="shared" si="24"/>
        <v>0</v>
      </c>
      <c r="S56" s="53">
        <f t="shared" si="24"/>
        <v>0</v>
      </c>
      <c r="T56" s="53">
        <f t="shared" si="24"/>
        <v>0</v>
      </c>
      <c r="U56" s="53">
        <f t="shared" si="24"/>
        <v>0</v>
      </c>
      <c r="V56" s="53">
        <f t="shared" si="24"/>
        <v>0</v>
      </c>
    </row>
    <row r="57" spans="1:22" ht="13.5">
      <c r="A57" s="510" t="s">
        <v>230</v>
      </c>
      <c r="B57" s="511"/>
      <c r="C57" s="51">
        <f>SUM(C35,C37,C39,C41,C43,C45,C47,C49,C51,C53,C55)</f>
        <v>0</v>
      </c>
      <c r="D57" s="51">
        <f>SUM(D35,D37,D39,D41,D43,D45,D47,D49,D51,D53,D55)</f>
        <v>0</v>
      </c>
      <c r="E57" s="51">
        <f aca="true" t="shared" si="25" ref="E57:K57">SUM(E35,E37,E39,E41,E43,E45,E47,E49,E51,E53,E55)</f>
        <v>0</v>
      </c>
      <c r="F57" s="51">
        <f t="shared" si="25"/>
        <v>0</v>
      </c>
      <c r="G57" s="51">
        <f t="shared" si="25"/>
        <v>0</v>
      </c>
      <c r="H57" s="51">
        <f t="shared" si="25"/>
        <v>0</v>
      </c>
      <c r="I57" s="51">
        <f t="shared" si="25"/>
        <v>0</v>
      </c>
      <c r="J57" s="51">
        <f t="shared" si="25"/>
        <v>0</v>
      </c>
      <c r="K57" s="51">
        <f t="shared" si="25"/>
        <v>0</v>
      </c>
      <c r="L57" s="51">
        <f>SUM(L35,L37,L39,L41,L43,L45,L47,L49,L51,L53,L55)</f>
        <v>156500</v>
      </c>
      <c r="M57" s="51">
        <f aca="true" t="shared" si="26" ref="M57:U57">SUM(M35,M37,M39,M41,M43,M45,M47,M49,M51,M53,M55)</f>
        <v>0</v>
      </c>
      <c r="N57" s="51">
        <f t="shared" si="26"/>
        <v>0</v>
      </c>
      <c r="O57" s="51">
        <f t="shared" si="26"/>
        <v>0</v>
      </c>
      <c r="P57" s="51">
        <f t="shared" si="26"/>
        <v>0</v>
      </c>
      <c r="Q57" s="51">
        <f t="shared" si="26"/>
        <v>0</v>
      </c>
      <c r="R57" s="51">
        <f t="shared" si="26"/>
        <v>0</v>
      </c>
      <c r="S57" s="51">
        <f t="shared" si="26"/>
        <v>0</v>
      </c>
      <c r="T57" s="51">
        <f t="shared" si="26"/>
        <v>0</v>
      </c>
      <c r="U57" s="51">
        <f t="shared" si="26"/>
        <v>172347.83</v>
      </c>
      <c r="V57" s="51">
        <f>SUM(V35,V37,V39,V41,V43,V45,V47,V49,V51,V53,V55)</f>
        <v>328847.82999999996</v>
      </c>
    </row>
    <row r="58" spans="1:23" ht="13.5">
      <c r="A58" s="510" t="s">
        <v>231</v>
      </c>
      <c r="B58" s="511"/>
      <c r="C58" s="51">
        <f>+C56+C54+C52+C50+C48+C46+C44+C42+C40+C38+C36</f>
        <v>0</v>
      </c>
      <c r="D58" s="51">
        <f>+D56+D54+D52+D50+D48+D46+D44+D42+D40+D38+D36</f>
        <v>0</v>
      </c>
      <c r="E58" s="51">
        <f>+E56+E54+E52+E50+E48+E46+E44+E42+E40+E38+E36</f>
        <v>0</v>
      </c>
      <c r="F58" s="51">
        <f>+F56+F54+F52+F50+F48+F46+F44+F42+F40+F38+F36</f>
        <v>0</v>
      </c>
      <c r="G58" s="51">
        <f>+G56+G54+G52+G50+G48+G46+G44+G42+G40+G38+G36</f>
        <v>0</v>
      </c>
      <c r="H58" s="51">
        <f>+H56+H54+H52+H50+H48+H46+H44+H42+H40+H38+H36</f>
        <v>0</v>
      </c>
      <c r="I58" s="51">
        <f>+I56+I54+I52+I50+I48+I46+I44+I42+I40+I38+I36</f>
        <v>0</v>
      </c>
      <c r="J58" s="51">
        <f>+J56+J54+J52+J50+J48+J46+J44+J42+J40+J38+J36</f>
        <v>0</v>
      </c>
      <c r="K58" s="51">
        <f>+K56+K54+K52+K50+K48+K46+K44+K42+K40+K38+K36</f>
        <v>0</v>
      </c>
      <c r="L58" s="51">
        <f>+L56+L54+L52+L50+L48+L46+L44+L42+L40+L38+L36</f>
        <v>166500</v>
      </c>
      <c r="M58" s="51">
        <f aca="true" t="shared" si="27" ref="M58:U58">+M56+M54+M52+M50+M48+M46+M44+M42+M40+M38+M36</f>
        <v>0</v>
      </c>
      <c r="N58" s="51">
        <f t="shared" si="27"/>
        <v>5000</v>
      </c>
      <c r="O58" s="51">
        <f t="shared" si="27"/>
        <v>0</v>
      </c>
      <c r="P58" s="51">
        <f t="shared" si="27"/>
        <v>0</v>
      </c>
      <c r="Q58" s="51">
        <f t="shared" si="27"/>
        <v>0</v>
      </c>
      <c r="R58" s="51">
        <f t="shared" si="27"/>
        <v>0</v>
      </c>
      <c r="S58" s="51">
        <f t="shared" si="27"/>
        <v>0</v>
      </c>
      <c r="T58" s="51">
        <f t="shared" si="27"/>
        <v>0</v>
      </c>
      <c r="U58" s="51">
        <f t="shared" si="27"/>
        <v>172347.83</v>
      </c>
      <c r="V58" s="51">
        <f>+V56+V54+V52+V50+V48+V46+V44+V42+V40+V38+V36</f>
        <v>343847.82999999996</v>
      </c>
      <c r="W58" s="338">
        <f>10000+5000+6000+172347.83+156500</f>
        <v>349847.82999999996</v>
      </c>
    </row>
    <row r="59" spans="1:23" ht="13.5">
      <c r="A59" s="516" t="s">
        <v>192</v>
      </c>
      <c r="B59" s="516"/>
      <c r="C59" s="516"/>
      <c r="D59" s="516"/>
      <c r="E59" s="516"/>
      <c r="F59" s="516"/>
      <c r="G59" s="516"/>
      <c r="H59" s="516"/>
      <c r="I59" s="516"/>
      <c r="J59" s="516"/>
      <c r="K59" s="516"/>
      <c r="L59" s="516"/>
      <c r="M59" s="516"/>
      <c r="N59" s="516"/>
      <c r="O59" s="516"/>
      <c r="P59" s="516"/>
      <c r="Q59" s="516"/>
      <c r="R59" s="516"/>
      <c r="S59" s="516"/>
      <c r="T59" s="516"/>
      <c r="U59" s="516"/>
      <c r="V59" s="516"/>
      <c r="W59" s="339">
        <f>+W58-V58</f>
        <v>6000</v>
      </c>
    </row>
    <row r="60" spans="1:22" ht="13.5">
      <c r="A60" s="516" t="s">
        <v>286</v>
      </c>
      <c r="B60" s="516"/>
      <c r="C60" s="516"/>
      <c r="D60" s="516"/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516"/>
      <c r="V60" s="516"/>
    </row>
    <row r="61" spans="1:22" ht="13.5">
      <c r="A61" s="517" t="s">
        <v>528</v>
      </c>
      <c r="B61" s="517"/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P61" s="517"/>
      <c r="Q61" s="517"/>
      <c r="R61" s="517"/>
      <c r="S61" s="517"/>
      <c r="T61" s="517"/>
      <c r="U61" s="517"/>
      <c r="V61" s="517"/>
    </row>
    <row r="62" spans="1:22" ht="13.5">
      <c r="A62" s="518" t="s">
        <v>194</v>
      </c>
      <c r="B62" s="518"/>
      <c r="C62" s="519" t="s">
        <v>196</v>
      </c>
      <c r="D62" s="519"/>
      <c r="E62" s="350" t="s">
        <v>199</v>
      </c>
      <c r="F62" s="519" t="s">
        <v>201</v>
      </c>
      <c r="G62" s="518"/>
      <c r="H62" s="519" t="s">
        <v>215</v>
      </c>
      <c r="I62" s="518"/>
      <c r="J62" s="350" t="s">
        <v>216</v>
      </c>
      <c r="K62" s="520" t="s">
        <v>217</v>
      </c>
      <c r="L62" s="521"/>
      <c r="M62" s="522"/>
      <c r="N62" s="350" t="s">
        <v>218</v>
      </c>
      <c r="O62" s="520" t="s">
        <v>219</v>
      </c>
      <c r="P62" s="521"/>
      <c r="Q62" s="522"/>
      <c r="R62" s="519" t="s">
        <v>220</v>
      </c>
      <c r="S62" s="518"/>
      <c r="T62" s="350" t="s">
        <v>284</v>
      </c>
      <c r="U62" s="350" t="s">
        <v>221</v>
      </c>
      <c r="V62" s="523" t="s">
        <v>17</v>
      </c>
    </row>
    <row r="63" spans="1:22" ht="13.5">
      <c r="A63" s="518" t="s">
        <v>195</v>
      </c>
      <c r="B63" s="518"/>
      <c r="C63" s="350" t="s">
        <v>197</v>
      </c>
      <c r="D63" s="350" t="s">
        <v>198</v>
      </c>
      <c r="E63" s="350" t="s">
        <v>200</v>
      </c>
      <c r="F63" s="350" t="s">
        <v>202</v>
      </c>
      <c r="G63" s="350" t="s">
        <v>203</v>
      </c>
      <c r="H63" s="350" t="s">
        <v>204</v>
      </c>
      <c r="I63" s="350" t="s">
        <v>205</v>
      </c>
      <c r="J63" s="350" t="s">
        <v>206</v>
      </c>
      <c r="K63" s="350" t="s">
        <v>207</v>
      </c>
      <c r="L63" s="350" t="s">
        <v>208</v>
      </c>
      <c r="M63" s="350" t="s">
        <v>334</v>
      </c>
      <c r="N63" s="350" t="s">
        <v>209</v>
      </c>
      <c r="O63" s="350" t="s">
        <v>210</v>
      </c>
      <c r="P63" s="350" t="s">
        <v>211</v>
      </c>
      <c r="Q63" s="350" t="s">
        <v>290</v>
      </c>
      <c r="R63" s="350" t="s">
        <v>212</v>
      </c>
      <c r="S63" s="350" t="s">
        <v>213</v>
      </c>
      <c r="T63" s="350" t="s">
        <v>285</v>
      </c>
      <c r="U63" s="350" t="s">
        <v>214</v>
      </c>
      <c r="V63" s="523"/>
    </row>
    <row r="64" spans="1:22" ht="13.5">
      <c r="A64" s="514" t="s">
        <v>268</v>
      </c>
      <c r="B64" s="515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5"/>
      <c r="V64" s="55">
        <f>SUM(C64:U64)</f>
        <v>0</v>
      </c>
    </row>
    <row r="65" spans="1:22" ht="13.5">
      <c r="A65" s="512" t="s">
        <v>231</v>
      </c>
      <c r="B65" s="513"/>
      <c r="C65" s="53">
        <f>SUM(C64+C36)</f>
        <v>0</v>
      </c>
      <c r="D65" s="53">
        <f aca="true" t="shared" si="28" ref="D65:U65">SUM(D64+D36)</f>
        <v>0</v>
      </c>
      <c r="E65" s="53">
        <f t="shared" si="28"/>
        <v>0</v>
      </c>
      <c r="F65" s="53">
        <f t="shared" si="28"/>
        <v>0</v>
      </c>
      <c r="G65" s="53">
        <f t="shared" si="28"/>
        <v>0</v>
      </c>
      <c r="H65" s="53">
        <f t="shared" si="28"/>
        <v>0</v>
      </c>
      <c r="I65" s="53">
        <f t="shared" si="28"/>
        <v>0</v>
      </c>
      <c r="J65" s="53">
        <f t="shared" si="28"/>
        <v>0</v>
      </c>
      <c r="K65" s="53">
        <f t="shared" si="28"/>
        <v>0</v>
      </c>
      <c r="L65" s="53">
        <f t="shared" si="28"/>
        <v>0</v>
      </c>
      <c r="M65" s="53">
        <f t="shared" si="28"/>
        <v>0</v>
      </c>
      <c r="N65" s="53">
        <f t="shared" si="28"/>
        <v>0</v>
      </c>
      <c r="O65" s="53">
        <f t="shared" si="28"/>
        <v>0</v>
      </c>
      <c r="P65" s="53">
        <f t="shared" si="28"/>
        <v>0</v>
      </c>
      <c r="Q65" s="53">
        <f t="shared" si="28"/>
        <v>0</v>
      </c>
      <c r="R65" s="53">
        <f t="shared" si="28"/>
        <v>0</v>
      </c>
      <c r="S65" s="53">
        <f t="shared" si="28"/>
        <v>0</v>
      </c>
      <c r="T65" s="53">
        <f t="shared" si="28"/>
        <v>0</v>
      </c>
      <c r="U65" s="53">
        <f t="shared" si="28"/>
        <v>172347.83</v>
      </c>
      <c r="V65" s="352">
        <f>SUM(C65:U65)</f>
        <v>172347.83</v>
      </c>
    </row>
    <row r="66" spans="1:22" ht="13.5">
      <c r="A66" s="514" t="s">
        <v>269</v>
      </c>
      <c r="B66" s="515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5">
        <f>SUM(C66:U66)</f>
        <v>0</v>
      </c>
    </row>
    <row r="67" spans="1:22" ht="13.5">
      <c r="A67" s="512" t="s">
        <v>231</v>
      </c>
      <c r="B67" s="513"/>
      <c r="C67" s="53">
        <f>SUM(C66)</f>
        <v>0</v>
      </c>
      <c r="D67" s="53">
        <f aca="true" t="shared" si="29" ref="D67:U67">SUM(D66)</f>
        <v>0</v>
      </c>
      <c r="E67" s="53">
        <f t="shared" si="29"/>
        <v>0</v>
      </c>
      <c r="F67" s="53">
        <f t="shared" si="29"/>
        <v>0</v>
      </c>
      <c r="G67" s="53">
        <f t="shared" si="29"/>
        <v>0</v>
      </c>
      <c r="H67" s="53">
        <f t="shared" si="29"/>
        <v>0</v>
      </c>
      <c r="I67" s="53">
        <f t="shared" si="29"/>
        <v>0</v>
      </c>
      <c r="J67" s="53">
        <f t="shared" si="29"/>
        <v>0</v>
      </c>
      <c r="K67" s="53">
        <f t="shared" si="29"/>
        <v>0</v>
      </c>
      <c r="L67" s="53">
        <f t="shared" si="29"/>
        <v>0</v>
      </c>
      <c r="M67" s="53">
        <f t="shared" si="29"/>
        <v>0</v>
      </c>
      <c r="N67" s="53">
        <f t="shared" si="29"/>
        <v>0</v>
      </c>
      <c r="O67" s="53">
        <f t="shared" si="29"/>
        <v>0</v>
      </c>
      <c r="P67" s="53">
        <f t="shared" si="29"/>
        <v>0</v>
      </c>
      <c r="Q67" s="53">
        <f t="shared" si="29"/>
        <v>0</v>
      </c>
      <c r="R67" s="53">
        <f t="shared" si="29"/>
        <v>0</v>
      </c>
      <c r="S67" s="53">
        <f t="shared" si="29"/>
        <v>0</v>
      </c>
      <c r="T67" s="53">
        <f t="shared" si="29"/>
        <v>0</v>
      </c>
      <c r="U67" s="53">
        <f t="shared" si="29"/>
        <v>0</v>
      </c>
      <c r="V67" s="53">
        <f>SUM(V66)</f>
        <v>0</v>
      </c>
    </row>
    <row r="68" spans="1:22" ht="13.5">
      <c r="A68" s="514" t="s">
        <v>270</v>
      </c>
      <c r="B68" s="515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</row>
    <row r="69" spans="1:22" ht="13.5">
      <c r="A69" s="512" t="s">
        <v>231</v>
      </c>
      <c r="B69" s="513"/>
      <c r="C69" s="53">
        <f>SUM(C68)</f>
        <v>0</v>
      </c>
      <c r="D69" s="53">
        <f aca="true" t="shared" si="30" ref="D69:U69">SUM(D68)</f>
        <v>0</v>
      </c>
      <c r="E69" s="53">
        <f t="shared" si="30"/>
        <v>0</v>
      </c>
      <c r="F69" s="53">
        <f t="shared" si="30"/>
        <v>0</v>
      </c>
      <c r="G69" s="53">
        <f t="shared" si="30"/>
        <v>0</v>
      </c>
      <c r="H69" s="53">
        <f t="shared" si="30"/>
        <v>0</v>
      </c>
      <c r="I69" s="53">
        <f t="shared" si="30"/>
        <v>0</v>
      </c>
      <c r="J69" s="53">
        <f t="shared" si="30"/>
        <v>0</v>
      </c>
      <c r="K69" s="53">
        <f t="shared" si="30"/>
        <v>0</v>
      </c>
      <c r="L69" s="53">
        <f t="shared" si="30"/>
        <v>0</v>
      </c>
      <c r="M69" s="53">
        <f t="shared" si="30"/>
        <v>0</v>
      </c>
      <c r="N69" s="53">
        <f t="shared" si="30"/>
        <v>0</v>
      </c>
      <c r="O69" s="53">
        <f t="shared" si="30"/>
        <v>0</v>
      </c>
      <c r="P69" s="53">
        <f t="shared" si="30"/>
        <v>0</v>
      </c>
      <c r="Q69" s="53">
        <f t="shared" si="30"/>
        <v>0</v>
      </c>
      <c r="R69" s="53">
        <f t="shared" si="30"/>
        <v>0</v>
      </c>
      <c r="S69" s="53">
        <f t="shared" si="30"/>
        <v>0</v>
      </c>
      <c r="T69" s="53">
        <f t="shared" si="30"/>
        <v>0</v>
      </c>
      <c r="U69" s="53">
        <f t="shared" si="30"/>
        <v>0</v>
      </c>
      <c r="V69" s="53">
        <f>SUM(V68)</f>
        <v>0</v>
      </c>
    </row>
    <row r="70" spans="1:22" ht="13.5">
      <c r="A70" s="514" t="s">
        <v>271</v>
      </c>
      <c r="B70" s="515"/>
      <c r="C70" s="54"/>
      <c r="D70" s="54"/>
      <c r="E70" s="54"/>
      <c r="F70" s="54">
        <v>0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</row>
    <row r="71" spans="1:22" ht="13.5">
      <c r="A71" s="512" t="s">
        <v>231</v>
      </c>
      <c r="B71" s="513"/>
      <c r="C71" s="53">
        <v>0</v>
      </c>
      <c r="D71" s="53">
        <v>0</v>
      </c>
      <c r="E71" s="53">
        <v>0</v>
      </c>
      <c r="F71" s="53">
        <f>SUM(F70)</f>
        <v>0</v>
      </c>
      <c r="G71" s="53">
        <f aca="true" t="shared" si="31" ref="G71:V71">SUM(G70)</f>
        <v>0</v>
      </c>
      <c r="H71" s="53">
        <f t="shared" si="31"/>
        <v>0</v>
      </c>
      <c r="I71" s="53">
        <f t="shared" si="31"/>
        <v>0</v>
      </c>
      <c r="J71" s="53">
        <f t="shared" si="31"/>
        <v>0</v>
      </c>
      <c r="K71" s="53">
        <f t="shared" si="31"/>
        <v>0</v>
      </c>
      <c r="L71" s="53">
        <f t="shared" si="31"/>
        <v>0</v>
      </c>
      <c r="M71" s="53">
        <f t="shared" si="31"/>
        <v>0</v>
      </c>
      <c r="N71" s="53">
        <f t="shared" si="31"/>
        <v>0</v>
      </c>
      <c r="O71" s="53">
        <f t="shared" si="31"/>
        <v>0</v>
      </c>
      <c r="P71" s="53">
        <f t="shared" si="31"/>
        <v>0</v>
      </c>
      <c r="Q71" s="53">
        <f t="shared" si="31"/>
        <v>0</v>
      </c>
      <c r="R71" s="53">
        <f t="shared" si="31"/>
        <v>0</v>
      </c>
      <c r="S71" s="53">
        <f t="shared" si="31"/>
        <v>0</v>
      </c>
      <c r="T71" s="53">
        <f t="shared" si="31"/>
        <v>0</v>
      </c>
      <c r="U71" s="53">
        <f t="shared" si="31"/>
        <v>0</v>
      </c>
      <c r="V71" s="53">
        <f t="shared" si="31"/>
        <v>0</v>
      </c>
    </row>
    <row r="72" spans="1:22" ht="13.5">
      <c r="A72" s="514" t="s">
        <v>272</v>
      </c>
      <c r="B72" s="515"/>
      <c r="C72" s="54">
        <v>6000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>
        <f>SUM(F72:U72)</f>
        <v>0</v>
      </c>
    </row>
    <row r="73" spans="1:22" ht="13.5">
      <c r="A73" s="512" t="s">
        <v>231</v>
      </c>
      <c r="B73" s="513"/>
      <c r="C73" s="53">
        <f>SUM(C72+C44)</f>
        <v>6000</v>
      </c>
      <c r="D73" s="53">
        <f aca="true" t="shared" si="32" ref="D73:V73">SUM(D72+D44)</f>
        <v>0</v>
      </c>
      <c r="E73" s="53">
        <f t="shared" si="32"/>
        <v>0</v>
      </c>
      <c r="F73" s="53">
        <f t="shared" si="32"/>
        <v>0</v>
      </c>
      <c r="G73" s="53">
        <f t="shared" si="32"/>
        <v>0</v>
      </c>
      <c r="H73" s="53">
        <f t="shared" si="32"/>
        <v>0</v>
      </c>
      <c r="I73" s="53">
        <f t="shared" si="32"/>
        <v>0</v>
      </c>
      <c r="J73" s="53">
        <f t="shared" si="32"/>
        <v>0</v>
      </c>
      <c r="K73" s="53">
        <f t="shared" si="32"/>
        <v>0</v>
      </c>
      <c r="L73" s="53">
        <f t="shared" si="32"/>
        <v>10000</v>
      </c>
      <c r="M73" s="53">
        <f t="shared" si="32"/>
        <v>0</v>
      </c>
      <c r="N73" s="53">
        <f t="shared" si="32"/>
        <v>5000</v>
      </c>
      <c r="O73" s="53">
        <f t="shared" si="32"/>
        <v>0</v>
      </c>
      <c r="P73" s="53">
        <f t="shared" si="32"/>
        <v>0</v>
      </c>
      <c r="Q73" s="53">
        <f t="shared" si="32"/>
        <v>0</v>
      </c>
      <c r="R73" s="53">
        <f t="shared" si="32"/>
        <v>0</v>
      </c>
      <c r="S73" s="53">
        <f t="shared" si="32"/>
        <v>0</v>
      </c>
      <c r="T73" s="53">
        <f t="shared" si="32"/>
        <v>0</v>
      </c>
      <c r="U73" s="53">
        <f t="shared" si="32"/>
        <v>0</v>
      </c>
      <c r="V73" s="53">
        <f t="shared" si="32"/>
        <v>15000</v>
      </c>
    </row>
    <row r="74" spans="1:22" ht="13.5">
      <c r="A74" s="514" t="s">
        <v>273</v>
      </c>
      <c r="B74" s="515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>
        <f>SUM(F74:U74)</f>
        <v>0</v>
      </c>
    </row>
    <row r="75" spans="1:22" ht="13.5">
      <c r="A75" s="512" t="s">
        <v>231</v>
      </c>
      <c r="B75" s="513"/>
      <c r="C75" s="53">
        <f>SUM(C74)</f>
        <v>0</v>
      </c>
      <c r="D75" s="53">
        <f aca="true" t="shared" si="33" ref="D75:V75">SUM(D74)</f>
        <v>0</v>
      </c>
      <c r="E75" s="53">
        <f t="shared" si="33"/>
        <v>0</v>
      </c>
      <c r="F75" s="53">
        <f t="shared" si="33"/>
        <v>0</v>
      </c>
      <c r="G75" s="53">
        <f t="shared" si="33"/>
        <v>0</v>
      </c>
      <c r="H75" s="53">
        <f t="shared" si="33"/>
        <v>0</v>
      </c>
      <c r="I75" s="53">
        <f t="shared" si="33"/>
        <v>0</v>
      </c>
      <c r="J75" s="53">
        <f t="shared" si="33"/>
        <v>0</v>
      </c>
      <c r="K75" s="53">
        <f t="shared" si="33"/>
        <v>0</v>
      </c>
      <c r="L75" s="53">
        <f t="shared" si="33"/>
        <v>0</v>
      </c>
      <c r="M75" s="53">
        <f t="shared" si="33"/>
        <v>0</v>
      </c>
      <c r="N75" s="53">
        <f t="shared" si="33"/>
        <v>0</v>
      </c>
      <c r="O75" s="53">
        <f t="shared" si="33"/>
        <v>0</v>
      </c>
      <c r="P75" s="53">
        <f t="shared" si="33"/>
        <v>0</v>
      </c>
      <c r="Q75" s="53">
        <f t="shared" si="33"/>
        <v>0</v>
      </c>
      <c r="R75" s="53">
        <f t="shared" si="33"/>
        <v>0</v>
      </c>
      <c r="S75" s="53">
        <f t="shared" si="33"/>
        <v>0</v>
      </c>
      <c r="T75" s="53">
        <f t="shared" si="33"/>
        <v>0</v>
      </c>
      <c r="U75" s="53">
        <f t="shared" si="33"/>
        <v>0</v>
      </c>
      <c r="V75" s="53">
        <f t="shared" si="33"/>
        <v>0</v>
      </c>
    </row>
    <row r="76" spans="1:22" ht="13.5">
      <c r="A76" s="514" t="s">
        <v>275</v>
      </c>
      <c r="B76" s="515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ht="13.5">
      <c r="A77" s="512" t="s">
        <v>231</v>
      </c>
      <c r="B77" s="513"/>
      <c r="C77" s="53">
        <f>SUM(C76)</f>
        <v>0</v>
      </c>
      <c r="D77" s="53">
        <f aca="true" t="shared" si="34" ref="D77:V77">SUM(D76)</f>
        <v>0</v>
      </c>
      <c r="E77" s="53">
        <f t="shared" si="34"/>
        <v>0</v>
      </c>
      <c r="F77" s="53">
        <f t="shared" si="34"/>
        <v>0</v>
      </c>
      <c r="G77" s="53">
        <f t="shared" si="34"/>
        <v>0</v>
      </c>
      <c r="H77" s="53">
        <f t="shared" si="34"/>
        <v>0</v>
      </c>
      <c r="I77" s="53">
        <f t="shared" si="34"/>
        <v>0</v>
      </c>
      <c r="J77" s="53">
        <f t="shared" si="34"/>
        <v>0</v>
      </c>
      <c r="K77" s="53">
        <f t="shared" si="34"/>
        <v>0</v>
      </c>
      <c r="L77" s="53">
        <f t="shared" si="34"/>
        <v>0</v>
      </c>
      <c r="M77" s="53">
        <f t="shared" si="34"/>
        <v>0</v>
      </c>
      <c r="N77" s="53">
        <f t="shared" si="34"/>
        <v>0</v>
      </c>
      <c r="O77" s="53">
        <f t="shared" si="34"/>
        <v>0</v>
      </c>
      <c r="P77" s="53">
        <f t="shared" si="34"/>
        <v>0</v>
      </c>
      <c r="Q77" s="53">
        <f t="shared" si="34"/>
        <v>0</v>
      </c>
      <c r="R77" s="53">
        <f t="shared" si="34"/>
        <v>0</v>
      </c>
      <c r="S77" s="53">
        <f t="shared" si="34"/>
        <v>0</v>
      </c>
      <c r="T77" s="53">
        <f t="shared" si="34"/>
        <v>0</v>
      </c>
      <c r="U77" s="53">
        <f t="shared" si="34"/>
        <v>0</v>
      </c>
      <c r="V77" s="53">
        <f t="shared" si="34"/>
        <v>0</v>
      </c>
    </row>
    <row r="78" spans="1:22" ht="13.5">
      <c r="A78" s="514" t="s">
        <v>276</v>
      </c>
      <c r="B78" s="515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2" ht="13.5">
      <c r="A79" s="512" t="s">
        <v>231</v>
      </c>
      <c r="B79" s="513"/>
      <c r="C79" s="53">
        <f>SUM(C78)</f>
        <v>0</v>
      </c>
      <c r="D79" s="53">
        <f aca="true" t="shared" si="35" ref="D79:V79">SUM(D78)</f>
        <v>0</v>
      </c>
      <c r="E79" s="53">
        <f t="shared" si="35"/>
        <v>0</v>
      </c>
      <c r="F79" s="53">
        <f t="shared" si="35"/>
        <v>0</v>
      </c>
      <c r="G79" s="53">
        <f t="shared" si="35"/>
        <v>0</v>
      </c>
      <c r="H79" s="53">
        <f t="shared" si="35"/>
        <v>0</v>
      </c>
      <c r="I79" s="53">
        <f t="shared" si="35"/>
        <v>0</v>
      </c>
      <c r="J79" s="53">
        <f t="shared" si="35"/>
        <v>0</v>
      </c>
      <c r="K79" s="53">
        <f t="shared" si="35"/>
        <v>0</v>
      </c>
      <c r="L79" s="53">
        <f t="shared" si="35"/>
        <v>0</v>
      </c>
      <c r="M79" s="53">
        <f t="shared" si="35"/>
        <v>0</v>
      </c>
      <c r="N79" s="53">
        <f t="shared" si="35"/>
        <v>0</v>
      </c>
      <c r="O79" s="53">
        <f t="shared" si="35"/>
        <v>0</v>
      </c>
      <c r="P79" s="53">
        <f t="shared" si="35"/>
        <v>0</v>
      </c>
      <c r="Q79" s="53">
        <f t="shared" si="35"/>
        <v>0</v>
      </c>
      <c r="R79" s="53">
        <f t="shared" si="35"/>
        <v>0</v>
      </c>
      <c r="S79" s="53">
        <f t="shared" si="35"/>
        <v>0</v>
      </c>
      <c r="T79" s="53">
        <f t="shared" si="35"/>
        <v>0</v>
      </c>
      <c r="U79" s="53">
        <f t="shared" si="35"/>
        <v>0</v>
      </c>
      <c r="V79" s="53">
        <f t="shared" si="35"/>
        <v>0</v>
      </c>
    </row>
    <row r="80" spans="1:22" ht="13.5">
      <c r="A80" s="514" t="s">
        <v>277</v>
      </c>
      <c r="B80" s="515"/>
      <c r="C80" s="54"/>
      <c r="D80" s="54"/>
      <c r="E80" s="54"/>
      <c r="F80" s="54"/>
      <c r="G80" s="54"/>
      <c r="H80" s="54"/>
      <c r="I80" s="54"/>
      <c r="J80" s="54"/>
      <c r="K80" s="54"/>
      <c r="L80" s="54">
        <v>182500</v>
      </c>
      <c r="M80" s="54"/>
      <c r="N80" s="54"/>
      <c r="O80" s="54"/>
      <c r="P80" s="54"/>
      <c r="Q80" s="54"/>
      <c r="R80" s="54"/>
      <c r="S80" s="54"/>
      <c r="T80" s="54"/>
      <c r="U80" s="54"/>
      <c r="V80" s="54">
        <f>SUM(C80:U80)</f>
        <v>182500</v>
      </c>
    </row>
    <row r="81" spans="1:22" ht="13.5">
      <c r="A81" s="512" t="s">
        <v>231</v>
      </c>
      <c r="B81" s="513"/>
      <c r="C81" s="53">
        <f>SUM(C80+C52)</f>
        <v>0</v>
      </c>
      <c r="D81" s="53">
        <f aca="true" t="shared" si="36" ref="D81:V81">SUM(D80+D52)</f>
        <v>0</v>
      </c>
      <c r="E81" s="53">
        <f t="shared" si="36"/>
        <v>0</v>
      </c>
      <c r="F81" s="53">
        <f t="shared" si="36"/>
        <v>0</v>
      </c>
      <c r="G81" s="53">
        <f t="shared" si="36"/>
        <v>0</v>
      </c>
      <c r="H81" s="53">
        <f t="shared" si="36"/>
        <v>0</v>
      </c>
      <c r="I81" s="53">
        <f t="shared" si="36"/>
        <v>0</v>
      </c>
      <c r="J81" s="53">
        <f t="shared" si="36"/>
        <v>0</v>
      </c>
      <c r="K81" s="53">
        <f t="shared" si="36"/>
        <v>0</v>
      </c>
      <c r="L81" s="53">
        <f t="shared" si="36"/>
        <v>339000</v>
      </c>
      <c r="M81" s="53">
        <f t="shared" si="36"/>
        <v>0</v>
      </c>
      <c r="N81" s="53">
        <f t="shared" si="36"/>
        <v>0</v>
      </c>
      <c r="O81" s="53">
        <f t="shared" si="36"/>
        <v>0</v>
      </c>
      <c r="P81" s="53">
        <f t="shared" si="36"/>
        <v>0</v>
      </c>
      <c r="Q81" s="53">
        <f t="shared" si="36"/>
        <v>0</v>
      </c>
      <c r="R81" s="53">
        <f t="shared" si="36"/>
        <v>0</v>
      </c>
      <c r="S81" s="53">
        <f t="shared" si="36"/>
        <v>0</v>
      </c>
      <c r="T81" s="53">
        <f t="shared" si="36"/>
        <v>0</v>
      </c>
      <c r="U81" s="53">
        <f t="shared" si="36"/>
        <v>0</v>
      </c>
      <c r="V81" s="53">
        <f t="shared" si="36"/>
        <v>339000</v>
      </c>
    </row>
    <row r="82" spans="1:22" ht="13.5">
      <c r="A82" s="514" t="s">
        <v>278</v>
      </c>
      <c r="B82" s="515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1:22" ht="13.5">
      <c r="A83" s="512" t="s">
        <v>231</v>
      </c>
      <c r="B83" s="513"/>
      <c r="C83" s="53">
        <f>SUM(C82)</f>
        <v>0</v>
      </c>
      <c r="D83" s="53">
        <f aca="true" t="shared" si="37" ref="D83:V83">SUM(D82)</f>
        <v>0</v>
      </c>
      <c r="E83" s="53">
        <f t="shared" si="37"/>
        <v>0</v>
      </c>
      <c r="F83" s="53">
        <f t="shared" si="37"/>
        <v>0</v>
      </c>
      <c r="G83" s="53">
        <f t="shared" si="37"/>
        <v>0</v>
      </c>
      <c r="H83" s="53">
        <f t="shared" si="37"/>
        <v>0</v>
      </c>
      <c r="I83" s="53">
        <f t="shared" si="37"/>
        <v>0</v>
      </c>
      <c r="J83" s="53">
        <f t="shared" si="37"/>
        <v>0</v>
      </c>
      <c r="K83" s="53">
        <f t="shared" si="37"/>
        <v>0</v>
      </c>
      <c r="L83" s="53">
        <f t="shared" si="37"/>
        <v>0</v>
      </c>
      <c r="M83" s="53">
        <f t="shared" si="37"/>
        <v>0</v>
      </c>
      <c r="N83" s="53">
        <f t="shared" si="37"/>
        <v>0</v>
      </c>
      <c r="O83" s="53">
        <f t="shared" si="37"/>
        <v>0</v>
      </c>
      <c r="P83" s="53">
        <f t="shared" si="37"/>
        <v>0</v>
      </c>
      <c r="Q83" s="53">
        <f t="shared" si="37"/>
        <v>0</v>
      </c>
      <c r="R83" s="53">
        <f t="shared" si="37"/>
        <v>0</v>
      </c>
      <c r="S83" s="53">
        <f t="shared" si="37"/>
        <v>0</v>
      </c>
      <c r="T83" s="53">
        <f t="shared" si="37"/>
        <v>0</v>
      </c>
      <c r="U83" s="53">
        <f t="shared" si="37"/>
        <v>0</v>
      </c>
      <c r="V83" s="53">
        <f t="shared" si="37"/>
        <v>0</v>
      </c>
    </row>
    <row r="84" spans="1:22" ht="13.5">
      <c r="A84" s="514" t="s">
        <v>282</v>
      </c>
      <c r="B84" s="515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spans="1:22" ht="13.5">
      <c r="A85" s="512" t="s">
        <v>231</v>
      </c>
      <c r="B85" s="513"/>
      <c r="C85" s="53">
        <f>SUM(C84)</f>
        <v>0</v>
      </c>
      <c r="D85" s="53">
        <f aca="true" t="shared" si="38" ref="D85:V85">SUM(D84)</f>
        <v>0</v>
      </c>
      <c r="E85" s="53">
        <f t="shared" si="38"/>
        <v>0</v>
      </c>
      <c r="F85" s="53">
        <f t="shared" si="38"/>
        <v>0</v>
      </c>
      <c r="G85" s="53">
        <f t="shared" si="38"/>
        <v>0</v>
      </c>
      <c r="H85" s="53">
        <f t="shared" si="38"/>
        <v>0</v>
      </c>
      <c r="I85" s="53">
        <f t="shared" si="38"/>
        <v>0</v>
      </c>
      <c r="J85" s="53">
        <f t="shared" si="38"/>
        <v>0</v>
      </c>
      <c r="K85" s="53">
        <f t="shared" si="38"/>
        <v>0</v>
      </c>
      <c r="L85" s="53">
        <f t="shared" si="38"/>
        <v>0</v>
      </c>
      <c r="M85" s="53">
        <f t="shared" si="38"/>
        <v>0</v>
      </c>
      <c r="N85" s="53">
        <f t="shared" si="38"/>
        <v>0</v>
      </c>
      <c r="O85" s="53">
        <f t="shared" si="38"/>
        <v>0</v>
      </c>
      <c r="P85" s="53">
        <f t="shared" si="38"/>
        <v>0</v>
      </c>
      <c r="Q85" s="53">
        <f t="shared" si="38"/>
        <v>0</v>
      </c>
      <c r="R85" s="53">
        <f t="shared" si="38"/>
        <v>0</v>
      </c>
      <c r="S85" s="53">
        <f t="shared" si="38"/>
        <v>0</v>
      </c>
      <c r="T85" s="53">
        <f t="shared" si="38"/>
        <v>0</v>
      </c>
      <c r="U85" s="53">
        <f t="shared" si="38"/>
        <v>0</v>
      </c>
      <c r="V85" s="53">
        <f t="shared" si="38"/>
        <v>0</v>
      </c>
    </row>
    <row r="86" spans="1:22" ht="13.5">
      <c r="A86" s="510" t="s">
        <v>230</v>
      </c>
      <c r="B86" s="511"/>
      <c r="C86" s="51">
        <f>SUM(C64,C66,C68,C70,C72,C74,C76,C78,C80,C82,C84)</f>
        <v>6000</v>
      </c>
      <c r="D86" s="51">
        <f>SUM(D64,D66,D68,D70,D72,D74,D76,D78,D80,D82,D84)</f>
        <v>0</v>
      </c>
      <c r="E86" s="51">
        <f aca="true" t="shared" si="39" ref="E86:K86">SUM(E64,E66,E68,E70,E72,E74,E76,E78,E80,E82,E84)</f>
        <v>0</v>
      </c>
      <c r="F86" s="51">
        <f t="shared" si="39"/>
        <v>0</v>
      </c>
      <c r="G86" s="51">
        <f t="shared" si="39"/>
        <v>0</v>
      </c>
      <c r="H86" s="51">
        <f t="shared" si="39"/>
        <v>0</v>
      </c>
      <c r="I86" s="51">
        <f t="shared" si="39"/>
        <v>0</v>
      </c>
      <c r="J86" s="51">
        <f t="shared" si="39"/>
        <v>0</v>
      </c>
      <c r="K86" s="51">
        <f t="shared" si="39"/>
        <v>0</v>
      </c>
      <c r="L86" s="51">
        <f>SUM(L64,L66,L68,L70,L72,L74,L76,L78,L80,L82,L84)</f>
        <v>182500</v>
      </c>
      <c r="M86" s="51">
        <f aca="true" t="shared" si="40" ref="M86:U86">SUM(M64,M66,M68,M70,M72,M74,M76,M78,M80,M82,M84)</f>
        <v>0</v>
      </c>
      <c r="N86" s="51">
        <f t="shared" si="40"/>
        <v>0</v>
      </c>
      <c r="O86" s="51">
        <f t="shared" si="40"/>
        <v>0</v>
      </c>
      <c r="P86" s="51">
        <f t="shared" si="40"/>
        <v>0</v>
      </c>
      <c r="Q86" s="51">
        <f t="shared" si="40"/>
        <v>0</v>
      </c>
      <c r="R86" s="51">
        <f t="shared" si="40"/>
        <v>0</v>
      </c>
      <c r="S86" s="51">
        <f t="shared" si="40"/>
        <v>0</v>
      </c>
      <c r="T86" s="51">
        <f t="shared" si="40"/>
        <v>0</v>
      </c>
      <c r="U86" s="51">
        <f t="shared" si="40"/>
        <v>0</v>
      </c>
      <c r="V86" s="51">
        <f>SUM(V64,V66,V68,V70,V72,V74,V76,V78,V80,V82,V84)</f>
        <v>182500</v>
      </c>
    </row>
    <row r="87" spans="1:22" ht="13.5">
      <c r="A87" s="510" t="s">
        <v>231</v>
      </c>
      <c r="B87" s="511"/>
      <c r="C87" s="51">
        <f>+C85+C83+C81+C79+C77+C75+C73+C71+C69+C67+C65</f>
        <v>6000</v>
      </c>
      <c r="D87" s="51">
        <f>+D85+D83+D81+D79+D77+D75+D73+D71+D69+D67+D65</f>
        <v>0</v>
      </c>
      <c r="E87" s="51">
        <f>+E85+E83+E81+E79+E77+E75+E73+E71+E69+E67+E65</f>
        <v>0</v>
      </c>
      <c r="F87" s="51">
        <f>+F85+F83+F81+F79+F77+F75+F73+F71+F69+F67+F65</f>
        <v>0</v>
      </c>
      <c r="G87" s="51">
        <f>+G85+G83+G81+G79+G77+G75+G73+G71+G69+G67+G65</f>
        <v>0</v>
      </c>
      <c r="H87" s="51">
        <f>+H85+H83+H81+H79+H77+H75+H73+H71+H69+H67+H65</f>
        <v>0</v>
      </c>
      <c r="I87" s="51">
        <f>+I85+I83+I81+I79+I77+I75+I73+I71+I69+I67+I65</f>
        <v>0</v>
      </c>
      <c r="J87" s="51">
        <f>+J85+J83+J81+J79+J77+J75+J73+J71+J69+J67+J65</f>
        <v>0</v>
      </c>
      <c r="K87" s="51">
        <f>+K85+K83+K81+K79+K77+K75+K73+K71+K69+K67+K65</f>
        <v>0</v>
      </c>
      <c r="L87" s="51">
        <f>+L85+L83+L81+L79+L77+L75+L73+L71+L69+L67+L65</f>
        <v>349000</v>
      </c>
      <c r="M87" s="51">
        <f aca="true" t="shared" si="41" ref="M87:U87">+M85+M83+M81+M79+M77+M75+M73+M71+M69+M67+M65</f>
        <v>0</v>
      </c>
      <c r="N87" s="51">
        <f t="shared" si="41"/>
        <v>5000</v>
      </c>
      <c r="O87" s="51">
        <f t="shared" si="41"/>
        <v>0</v>
      </c>
      <c r="P87" s="51">
        <f t="shared" si="41"/>
        <v>0</v>
      </c>
      <c r="Q87" s="51">
        <f t="shared" si="41"/>
        <v>0</v>
      </c>
      <c r="R87" s="51">
        <f t="shared" si="41"/>
        <v>0</v>
      </c>
      <c r="S87" s="51">
        <f t="shared" si="41"/>
        <v>0</v>
      </c>
      <c r="T87" s="51">
        <f t="shared" si="41"/>
        <v>0</v>
      </c>
      <c r="U87" s="51">
        <f t="shared" si="41"/>
        <v>172347.83</v>
      </c>
      <c r="V87" s="51">
        <f>+V85+V83+V81+V79+V77+V75+V73+V71+V69+V67+V65</f>
        <v>526347.83</v>
      </c>
    </row>
    <row r="88" spans="1:23" ht="13.5">
      <c r="A88" s="516" t="s">
        <v>192</v>
      </c>
      <c r="B88" s="516"/>
      <c r="C88" s="516"/>
      <c r="D88" s="516"/>
      <c r="E88" s="516"/>
      <c r="F88" s="516"/>
      <c r="G88" s="516"/>
      <c r="H88" s="516"/>
      <c r="I88" s="516"/>
      <c r="J88" s="516"/>
      <c r="K88" s="516"/>
      <c r="L88" s="516"/>
      <c r="M88" s="516"/>
      <c r="N88" s="516"/>
      <c r="O88" s="516"/>
      <c r="P88" s="516"/>
      <c r="Q88" s="516"/>
      <c r="R88" s="516"/>
      <c r="S88" s="516"/>
      <c r="T88" s="516"/>
      <c r="U88" s="516"/>
      <c r="V88" s="516"/>
      <c r="W88" s="339">
        <f>+V58</f>
        <v>343847.82999999996</v>
      </c>
    </row>
    <row r="89" spans="1:23" ht="13.5">
      <c r="A89" s="516" t="s">
        <v>286</v>
      </c>
      <c r="B89" s="516"/>
      <c r="C89" s="516"/>
      <c r="D89" s="516"/>
      <c r="E89" s="516"/>
      <c r="F89" s="516"/>
      <c r="G89" s="516"/>
      <c r="H89" s="516"/>
      <c r="I89" s="516"/>
      <c r="J89" s="516"/>
      <c r="K89" s="516"/>
      <c r="L89" s="516"/>
      <c r="M89" s="516"/>
      <c r="N89" s="516"/>
      <c r="O89" s="516"/>
      <c r="P89" s="516"/>
      <c r="Q89" s="516"/>
      <c r="R89" s="516"/>
      <c r="S89" s="516"/>
      <c r="T89" s="516"/>
      <c r="U89" s="516"/>
      <c r="V89" s="516"/>
      <c r="W89" s="339">
        <f>+W88+V86</f>
        <v>526347.83</v>
      </c>
    </row>
    <row r="90" spans="1:22" ht="13.5">
      <c r="A90" s="517" t="s">
        <v>611</v>
      </c>
      <c r="B90" s="517"/>
      <c r="C90" s="517"/>
      <c r="D90" s="517"/>
      <c r="E90" s="517"/>
      <c r="F90" s="517"/>
      <c r="G90" s="517"/>
      <c r="H90" s="517"/>
      <c r="I90" s="517"/>
      <c r="J90" s="517"/>
      <c r="K90" s="517"/>
      <c r="L90" s="517"/>
      <c r="M90" s="517"/>
      <c r="N90" s="517"/>
      <c r="O90" s="517"/>
      <c r="P90" s="517"/>
      <c r="Q90" s="517"/>
      <c r="R90" s="517"/>
      <c r="S90" s="517"/>
      <c r="T90" s="517"/>
      <c r="U90" s="517"/>
      <c r="V90" s="517"/>
    </row>
    <row r="91" spans="1:22" ht="13.5">
      <c r="A91" s="518" t="s">
        <v>194</v>
      </c>
      <c r="B91" s="518"/>
      <c r="C91" s="519" t="s">
        <v>196</v>
      </c>
      <c r="D91" s="519"/>
      <c r="E91" s="433" t="s">
        <v>199</v>
      </c>
      <c r="F91" s="519" t="s">
        <v>201</v>
      </c>
      <c r="G91" s="518"/>
      <c r="H91" s="519" t="s">
        <v>215</v>
      </c>
      <c r="I91" s="518"/>
      <c r="J91" s="433" t="s">
        <v>216</v>
      </c>
      <c r="K91" s="520" t="s">
        <v>217</v>
      </c>
      <c r="L91" s="521"/>
      <c r="M91" s="522"/>
      <c r="N91" s="433" t="s">
        <v>218</v>
      </c>
      <c r="O91" s="520" t="s">
        <v>219</v>
      </c>
      <c r="P91" s="521"/>
      <c r="Q91" s="522"/>
      <c r="R91" s="519" t="s">
        <v>220</v>
      </c>
      <c r="S91" s="518"/>
      <c r="T91" s="433" t="s">
        <v>284</v>
      </c>
      <c r="U91" s="433" t="s">
        <v>221</v>
      </c>
      <c r="V91" s="523" t="s">
        <v>17</v>
      </c>
    </row>
    <row r="92" spans="1:22" ht="13.5">
      <c r="A92" s="518" t="s">
        <v>195</v>
      </c>
      <c r="B92" s="518"/>
      <c r="C92" s="433" t="s">
        <v>197</v>
      </c>
      <c r="D92" s="433" t="s">
        <v>198</v>
      </c>
      <c r="E92" s="433" t="s">
        <v>200</v>
      </c>
      <c r="F92" s="433" t="s">
        <v>202</v>
      </c>
      <c r="G92" s="433" t="s">
        <v>203</v>
      </c>
      <c r="H92" s="433" t="s">
        <v>204</v>
      </c>
      <c r="I92" s="433" t="s">
        <v>205</v>
      </c>
      <c r="J92" s="433" t="s">
        <v>206</v>
      </c>
      <c r="K92" s="433" t="s">
        <v>207</v>
      </c>
      <c r="L92" s="433" t="s">
        <v>208</v>
      </c>
      <c r="M92" s="433" t="s">
        <v>334</v>
      </c>
      <c r="N92" s="433" t="s">
        <v>209</v>
      </c>
      <c r="O92" s="433" t="s">
        <v>210</v>
      </c>
      <c r="P92" s="433" t="s">
        <v>211</v>
      </c>
      <c r="Q92" s="433" t="s">
        <v>290</v>
      </c>
      <c r="R92" s="433" t="s">
        <v>212</v>
      </c>
      <c r="S92" s="433" t="s">
        <v>213</v>
      </c>
      <c r="T92" s="433" t="s">
        <v>285</v>
      </c>
      <c r="U92" s="433" t="s">
        <v>214</v>
      </c>
      <c r="V92" s="523"/>
    </row>
    <row r="93" spans="1:22" ht="13.5">
      <c r="A93" s="514" t="s">
        <v>268</v>
      </c>
      <c r="B93" s="515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5"/>
      <c r="V93" s="55">
        <f>SUM(C93:U93)</f>
        <v>0</v>
      </c>
    </row>
    <row r="94" spans="1:22" ht="13.5">
      <c r="A94" s="512" t="s">
        <v>231</v>
      </c>
      <c r="B94" s="513"/>
      <c r="C94" s="53">
        <f>SUM(C93+C65)</f>
        <v>0</v>
      </c>
      <c r="D94" s="53">
        <f aca="true" t="shared" si="42" ref="D94:U94">SUM(D93+D65)</f>
        <v>0</v>
      </c>
      <c r="E94" s="53">
        <f t="shared" si="42"/>
        <v>0</v>
      </c>
      <c r="F94" s="53">
        <f t="shared" si="42"/>
        <v>0</v>
      </c>
      <c r="G94" s="53">
        <f t="shared" si="42"/>
        <v>0</v>
      </c>
      <c r="H94" s="53">
        <f t="shared" si="42"/>
        <v>0</v>
      </c>
      <c r="I94" s="53">
        <f t="shared" si="42"/>
        <v>0</v>
      </c>
      <c r="J94" s="53">
        <f t="shared" si="42"/>
        <v>0</v>
      </c>
      <c r="K94" s="53">
        <f t="shared" si="42"/>
        <v>0</v>
      </c>
      <c r="L94" s="53">
        <f t="shared" si="42"/>
        <v>0</v>
      </c>
      <c r="M94" s="53">
        <f t="shared" si="42"/>
        <v>0</v>
      </c>
      <c r="N94" s="53">
        <f t="shared" si="42"/>
        <v>0</v>
      </c>
      <c r="O94" s="53">
        <f t="shared" si="42"/>
        <v>0</v>
      </c>
      <c r="P94" s="53">
        <f t="shared" si="42"/>
        <v>0</v>
      </c>
      <c r="Q94" s="53">
        <f t="shared" si="42"/>
        <v>0</v>
      </c>
      <c r="R94" s="53">
        <f t="shared" si="42"/>
        <v>0</v>
      </c>
      <c r="S94" s="53">
        <f t="shared" si="42"/>
        <v>0</v>
      </c>
      <c r="T94" s="53">
        <f t="shared" si="42"/>
        <v>0</v>
      </c>
      <c r="U94" s="53">
        <f t="shared" si="42"/>
        <v>172347.83</v>
      </c>
      <c r="V94" s="352">
        <f>SUM(C94:U94)</f>
        <v>172347.83</v>
      </c>
    </row>
    <row r="95" spans="1:22" ht="13.5">
      <c r="A95" s="514" t="s">
        <v>269</v>
      </c>
      <c r="B95" s="515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5">
        <f>SUM(C95:U95)</f>
        <v>0</v>
      </c>
    </row>
    <row r="96" spans="1:22" ht="13.5">
      <c r="A96" s="512" t="s">
        <v>231</v>
      </c>
      <c r="B96" s="513"/>
      <c r="C96" s="53">
        <f>SUM(C95)</f>
        <v>0</v>
      </c>
      <c r="D96" s="53">
        <f aca="true" t="shared" si="43" ref="D96:U96">SUM(D95)</f>
        <v>0</v>
      </c>
      <c r="E96" s="53">
        <f t="shared" si="43"/>
        <v>0</v>
      </c>
      <c r="F96" s="53">
        <f t="shared" si="43"/>
        <v>0</v>
      </c>
      <c r="G96" s="53">
        <f t="shared" si="43"/>
        <v>0</v>
      </c>
      <c r="H96" s="53">
        <f t="shared" si="43"/>
        <v>0</v>
      </c>
      <c r="I96" s="53">
        <f t="shared" si="43"/>
        <v>0</v>
      </c>
      <c r="J96" s="53">
        <f t="shared" si="43"/>
        <v>0</v>
      </c>
      <c r="K96" s="53">
        <f t="shared" si="43"/>
        <v>0</v>
      </c>
      <c r="L96" s="53">
        <f t="shared" si="43"/>
        <v>0</v>
      </c>
      <c r="M96" s="53">
        <f t="shared" si="43"/>
        <v>0</v>
      </c>
      <c r="N96" s="53">
        <f t="shared" si="43"/>
        <v>0</v>
      </c>
      <c r="O96" s="53">
        <f t="shared" si="43"/>
        <v>0</v>
      </c>
      <c r="P96" s="53">
        <f t="shared" si="43"/>
        <v>0</v>
      </c>
      <c r="Q96" s="53">
        <f t="shared" si="43"/>
        <v>0</v>
      </c>
      <c r="R96" s="53">
        <f t="shared" si="43"/>
        <v>0</v>
      </c>
      <c r="S96" s="53">
        <f t="shared" si="43"/>
        <v>0</v>
      </c>
      <c r="T96" s="53">
        <f t="shared" si="43"/>
        <v>0</v>
      </c>
      <c r="U96" s="53">
        <f t="shared" si="43"/>
        <v>0</v>
      </c>
      <c r="V96" s="53">
        <f>SUM(V95)</f>
        <v>0</v>
      </c>
    </row>
    <row r="97" spans="1:22" ht="13.5">
      <c r="A97" s="514" t="s">
        <v>270</v>
      </c>
      <c r="B97" s="515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spans="1:22" ht="13.5">
      <c r="A98" s="512" t="s">
        <v>231</v>
      </c>
      <c r="B98" s="513"/>
      <c r="C98" s="53">
        <f>SUM(C97)</f>
        <v>0</v>
      </c>
      <c r="D98" s="53">
        <f aca="true" t="shared" si="44" ref="D98:U98">SUM(D97)</f>
        <v>0</v>
      </c>
      <c r="E98" s="53">
        <f t="shared" si="44"/>
        <v>0</v>
      </c>
      <c r="F98" s="53">
        <f t="shared" si="44"/>
        <v>0</v>
      </c>
      <c r="G98" s="53">
        <f t="shared" si="44"/>
        <v>0</v>
      </c>
      <c r="H98" s="53">
        <f t="shared" si="44"/>
        <v>0</v>
      </c>
      <c r="I98" s="53">
        <f t="shared" si="44"/>
        <v>0</v>
      </c>
      <c r="J98" s="53">
        <f t="shared" si="44"/>
        <v>0</v>
      </c>
      <c r="K98" s="53">
        <f t="shared" si="44"/>
        <v>0</v>
      </c>
      <c r="L98" s="53">
        <f t="shared" si="44"/>
        <v>0</v>
      </c>
      <c r="M98" s="53">
        <f t="shared" si="44"/>
        <v>0</v>
      </c>
      <c r="N98" s="53">
        <f t="shared" si="44"/>
        <v>0</v>
      </c>
      <c r="O98" s="53">
        <f t="shared" si="44"/>
        <v>0</v>
      </c>
      <c r="P98" s="53">
        <f t="shared" si="44"/>
        <v>0</v>
      </c>
      <c r="Q98" s="53">
        <f t="shared" si="44"/>
        <v>0</v>
      </c>
      <c r="R98" s="53">
        <f t="shared" si="44"/>
        <v>0</v>
      </c>
      <c r="S98" s="53">
        <f t="shared" si="44"/>
        <v>0</v>
      </c>
      <c r="T98" s="53">
        <f t="shared" si="44"/>
        <v>0</v>
      </c>
      <c r="U98" s="53">
        <f t="shared" si="44"/>
        <v>0</v>
      </c>
      <c r="V98" s="53">
        <f>SUM(V97)</f>
        <v>0</v>
      </c>
    </row>
    <row r="99" spans="1:22" ht="13.5">
      <c r="A99" s="514" t="s">
        <v>271</v>
      </c>
      <c r="B99" s="515"/>
      <c r="C99" s="54"/>
      <c r="D99" s="54"/>
      <c r="E99" s="54"/>
      <c r="F99" s="54">
        <v>0</v>
      </c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</row>
    <row r="100" spans="1:22" ht="13.5">
      <c r="A100" s="512" t="s">
        <v>231</v>
      </c>
      <c r="B100" s="513"/>
      <c r="C100" s="53">
        <v>0</v>
      </c>
      <c r="D100" s="53">
        <v>0</v>
      </c>
      <c r="E100" s="53">
        <v>0</v>
      </c>
      <c r="F100" s="53">
        <f>SUM(F99)</f>
        <v>0</v>
      </c>
      <c r="G100" s="53">
        <f aca="true" t="shared" si="45" ref="G100:V100">SUM(G99)</f>
        <v>0</v>
      </c>
      <c r="H100" s="53">
        <f t="shared" si="45"/>
        <v>0</v>
      </c>
      <c r="I100" s="53">
        <f t="shared" si="45"/>
        <v>0</v>
      </c>
      <c r="J100" s="53">
        <f t="shared" si="45"/>
        <v>0</v>
      </c>
      <c r="K100" s="53">
        <f t="shared" si="45"/>
        <v>0</v>
      </c>
      <c r="L100" s="53">
        <f t="shared" si="45"/>
        <v>0</v>
      </c>
      <c r="M100" s="53">
        <f t="shared" si="45"/>
        <v>0</v>
      </c>
      <c r="N100" s="53">
        <f t="shared" si="45"/>
        <v>0</v>
      </c>
      <c r="O100" s="53">
        <f t="shared" si="45"/>
        <v>0</v>
      </c>
      <c r="P100" s="53">
        <f t="shared" si="45"/>
        <v>0</v>
      </c>
      <c r="Q100" s="53">
        <f t="shared" si="45"/>
        <v>0</v>
      </c>
      <c r="R100" s="53">
        <f t="shared" si="45"/>
        <v>0</v>
      </c>
      <c r="S100" s="53">
        <f t="shared" si="45"/>
        <v>0</v>
      </c>
      <c r="T100" s="53">
        <f t="shared" si="45"/>
        <v>0</v>
      </c>
      <c r="U100" s="53">
        <f t="shared" si="45"/>
        <v>0</v>
      </c>
      <c r="V100" s="53">
        <f t="shared" si="45"/>
        <v>0</v>
      </c>
    </row>
    <row r="101" spans="1:22" ht="13.5">
      <c r="A101" s="514" t="s">
        <v>272</v>
      </c>
      <c r="B101" s="515"/>
      <c r="C101" s="54">
        <v>0</v>
      </c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>
        <v>6200</v>
      </c>
      <c r="O101" s="54"/>
      <c r="P101" s="54"/>
      <c r="Q101" s="54"/>
      <c r="R101" s="54"/>
      <c r="S101" s="54"/>
      <c r="T101" s="54"/>
      <c r="U101" s="54"/>
      <c r="V101" s="54">
        <f>SUM(F101:U101)</f>
        <v>6200</v>
      </c>
    </row>
    <row r="102" spans="1:22" ht="13.5">
      <c r="A102" s="512" t="s">
        <v>231</v>
      </c>
      <c r="B102" s="513"/>
      <c r="C102" s="53">
        <f>SUM(C101+C73)</f>
        <v>6000</v>
      </c>
      <c r="D102" s="53">
        <f aca="true" t="shared" si="46" ref="D102:V102">SUM(D101+D73)</f>
        <v>0</v>
      </c>
      <c r="E102" s="53">
        <f t="shared" si="46"/>
        <v>0</v>
      </c>
      <c r="F102" s="53">
        <f t="shared" si="46"/>
        <v>0</v>
      </c>
      <c r="G102" s="53">
        <f t="shared" si="46"/>
        <v>0</v>
      </c>
      <c r="H102" s="53">
        <f t="shared" si="46"/>
        <v>0</v>
      </c>
      <c r="I102" s="53">
        <f t="shared" si="46"/>
        <v>0</v>
      </c>
      <c r="J102" s="53">
        <f t="shared" si="46"/>
        <v>0</v>
      </c>
      <c r="K102" s="53">
        <f t="shared" si="46"/>
        <v>0</v>
      </c>
      <c r="L102" s="53">
        <f t="shared" si="46"/>
        <v>10000</v>
      </c>
      <c r="M102" s="53">
        <f t="shared" si="46"/>
        <v>0</v>
      </c>
      <c r="N102" s="53">
        <f t="shared" si="46"/>
        <v>11200</v>
      </c>
      <c r="O102" s="53">
        <f t="shared" si="46"/>
        <v>0</v>
      </c>
      <c r="P102" s="53">
        <f t="shared" si="46"/>
        <v>0</v>
      </c>
      <c r="Q102" s="53">
        <f t="shared" si="46"/>
        <v>0</v>
      </c>
      <c r="R102" s="53">
        <f t="shared" si="46"/>
        <v>0</v>
      </c>
      <c r="S102" s="53">
        <f t="shared" si="46"/>
        <v>0</v>
      </c>
      <c r="T102" s="53">
        <f t="shared" si="46"/>
        <v>0</v>
      </c>
      <c r="U102" s="53">
        <f t="shared" si="46"/>
        <v>0</v>
      </c>
      <c r="V102" s="53">
        <f t="shared" si="46"/>
        <v>21200</v>
      </c>
    </row>
    <row r="103" spans="1:22" ht="13.5">
      <c r="A103" s="514" t="s">
        <v>273</v>
      </c>
      <c r="B103" s="515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>
        <f>SUM(F103:U103)</f>
        <v>0</v>
      </c>
    </row>
    <row r="104" spans="1:22" ht="13.5">
      <c r="A104" s="512" t="s">
        <v>231</v>
      </c>
      <c r="B104" s="513"/>
      <c r="C104" s="53">
        <f>SUM(C103)</f>
        <v>0</v>
      </c>
      <c r="D104" s="53">
        <f aca="true" t="shared" si="47" ref="D104:V104">SUM(D103)</f>
        <v>0</v>
      </c>
      <c r="E104" s="53">
        <f t="shared" si="47"/>
        <v>0</v>
      </c>
      <c r="F104" s="53">
        <f t="shared" si="47"/>
        <v>0</v>
      </c>
      <c r="G104" s="53">
        <f t="shared" si="47"/>
        <v>0</v>
      </c>
      <c r="H104" s="53">
        <f t="shared" si="47"/>
        <v>0</v>
      </c>
      <c r="I104" s="53">
        <f t="shared" si="47"/>
        <v>0</v>
      </c>
      <c r="J104" s="53">
        <f t="shared" si="47"/>
        <v>0</v>
      </c>
      <c r="K104" s="53">
        <f t="shared" si="47"/>
        <v>0</v>
      </c>
      <c r="L104" s="53">
        <f t="shared" si="47"/>
        <v>0</v>
      </c>
      <c r="M104" s="53">
        <f t="shared" si="47"/>
        <v>0</v>
      </c>
      <c r="N104" s="53">
        <f t="shared" si="47"/>
        <v>0</v>
      </c>
      <c r="O104" s="53">
        <f t="shared" si="47"/>
        <v>0</v>
      </c>
      <c r="P104" s="53">
        <f t="shared" si="47"/>
        <v>0</v>
      </c>
      <c r="Q104" s="53">
        <f t="shared" si="47"/>
        <v>0</v>
      </c>
      <c r="R104" s="53">
        <f t="shared" si="47"/>
        <v>0</v>
      </c>
      <c r="S104" s="53">
        <f t="shared" si="47"/>
        <v>0</v>
      </c>
      <c r="T104" s="53">
        <f t="shared" si="47"/>
        <v>0</v>
      </c>
      <c r="U104" s="53">
        <f t="shared" si="47"/>
        <v>0</v>
      </c>
      <c r="V104" s="53">
        <f t="shared" si="47"/>
        <v>0</v>
      </c>
    </row>
    <row r="105" spans="1:22" ht="13.5">
      <c r="A105" s="514" t="s">
        <v>275</v>
      </c>
      <c r="B105" s="515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</row>
    <row r="106" spans="1:22" ht="13.5">
      <c r="A106" s="512" t="s">
        <v>231</v>
      </c>
      <c r="B106" s="513"/>
      <c r="C106" s="53">
        <f>SUM(C105)</f>
        <v>0</v>
      </c>
      <c r="D106" s="53">
        <f aca="true" t="shared" si="48" ref="D106:V106">SUM(D105)</f>
        <v>0</v>
      </c>
      <c r="E106" s="53">
        <f t="shared" si="48"/>
        <v>0</v>
      </c>
      <c r="F106" s="53">
        <f t="shared" si="48"/>
        <v>0</v>
      </c>
      <c r="G106" s="53">
        <f t="shared" si="48"/>
        <v>0</v>
      </c>
      <c r="H106" s="53">
        <f t="shared" si="48"/>
        <v>0</v>
      </c>
      <c r="I106" s="53">
        <f t="shared" si="48"/>
        <v>0</v>
      </c>
      <c r="J106" s="53">
        <f t="shared" si="48"/>
        <v>0</v>
      </c>
      <c r="K106" s="53">
        <f t="shared" si="48"/>
        <v>0</v>
      </c>
      <c r="L106" s="53">
        <f t="shared" si="48"/>
        <v>0</v>
      </c>
      <c r="M106" s="53">
        <f t="shared" si="48"/>
        <v>0</v>
      </c>
      <c r="N106" s="53">
        <f t="shared" si="48"/>
        <v>0</v>
      </c>
      <c r="O106" s="53">
        <f t="shared" si="48"/>
        <v>0</v>
      </c>
      <c r="P106" s="53">
        <f t="shared" si="48"/>
        <v>0</v>
      </c>
      <c r="Q106" s="53">
        <f t="shared" si="48"/>
        <v>0</v>
      </c>
      <c r="R106" s="53">
        <f t="shared" si="48"/>
        <v>0</v>
      </c>
      <c r="S106" s="53">
        <f t="shared" si="48"/>
        <v>0</v>
      </c>
      <c r="T106" s="53">
        <f t="shared" si="48"/>
        <v>0</v>
      </c>
      <c r="U106" s="53">
        <f t="shared" si="48"/>
        <v>0</v>
      </c>
      <c r="V106" s="53">
        <f t="shared" si="48"/>
        <v>0</v>
      </c>
    </row>
    <row r="107" spans="1:22" ht="13.5">
      <c r="A107" s="514" t="s">
        <v>276</v>
      </c>
      <c r="B107" s="515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</row>
    <row r="108" spans="1:22" ht="13.5">
      <c r="A108" s="512" t="s">
        <v>231</v>
      </c>
      <c r="B108" s="513"/>
      <c r="C108" s="53">
        <f>SUM(C107)</f>
        <v>0</v>
      </c>
      <c r="D108" s="53">
        <f aca="true" t="shared" si="49" ref="D108:V108">SUM(D107)</f>
        <v>0</v>
      </c>
      <c r="E108" s="53">
        <f t="shared" si="49"/>
        <v>0</v>
      </c>
      <c r="F108" s="53">
        <f t="shared" si="49"/>
        <v>0</v>
      </c>
      <c r="G108" s="53">
        <f t="shared" si="49"/>
        <v>0</v>
      </c>
      <c r="H108" s="53">
        <f t="shared" si="49"/>
        <v>0</v>
      </c>
      <c r="I108" s="53">
        <f t="shared" si="49"/>
        <v>0</v>
      </c>
      <c r="J108" s="53">
        <f t="shared" si="49"/>
        <v>0</v>
      </c>
      <c r="K108" s="53">
        <f t="shared" si="49"/>
        <v>0</v>
      </c>
      <c r="L108" s="53">
        <f t="shared" si="49"/>
        <v>0</v>
      </c>
      <c r="M108" s="53">
        <f t="shared" si="49"/>
        <v>0</v>
      </c>
      <c r="N108" s="53">
        <f t="shared" si="49"/>
        <v>0</v>
      </c>
      <c r="O108" s="53">
        <f t="shared" si="49"/>
        <v>0</v>
      </c>
      <c r="P108" s="53">
        <f t="shared" si="49"/>
        <v>0</v>
      </c>
      <c r="Q108" s="53">
        <f t="shared" si="49"/>
        <v>0</v>
      </c>
      <c r="R108" s="53">
        <f t="shared" si="49"/>
        <v>0</v>
      </c>
      <c r="S108" s="53">
        <f t="shared" si="49"/>
        <v>0</v>
      </c>
      <c r="T108" s="53">
        <f t="shared" si="49"/>
        <v>0</v>
      </c>
      <c r="U108" s="53">
        <f t="shared" si="49"/>
        <v>0</v>
      </c>
      <c r="V108" s="53">
        <f t="shared" si="49"/>
        <v>0</v>
      </c>
    </row>
    <row r="109" spans="1:22" ht="13.5">
      <c r="A109" s="514" t="s">
        <v>277</v>
      </c>
      <c r="B109" s="515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>
        <f>SUM(C109:U109)</f>
        <v>0</v>
      </c>
    </row>
    <row r="110" spans="1:22" ht="13.5">
      <c r="A110" s="512" t="s">
        <v>231</v>
      </c>
      <c r="B110" s="513"/>
      <c r="C110" s="53">
        <f>SUM(C109+C81)</f>
        <v>0</v>
      </c>
      <c r="D110" s="53">
        <f aca="true" t="shared" si="50" ref="D110:V110">SUM(D109+D81)</f>
        <v>0</v>
      </c>
      <c r="E110" s="53">
        <f t="shared" si="50"/>
        <v>0</v>
      </c>
      <c r="F110" s="53">
        <f t="shared" si="50"/>
        <v>0</v>
      </c>
      <c r="G110" s="53">
        <f t="shared" si="50"/>
        <v>0</v>
      </c>
      <c r="H110" s="53">
        <f t="shared" si="50"/>
        <v>0</v>
      </c>
      <c r="I110" s="53">
        <f t="shared" si="50"/>
        <v>0</v>
      </c>
      <c r="J110" s="53">
        <f t="shared" si="50"/>
        <v>0</v>
      </c>
      <c r="K110" s="53">
        <f t="shared" si="50"/>
        <v>0</v>
      </c>
      <c r="L110" s="53">
        <f t="shared" si="50"/>
        <v>339000</v>
      </c>
      <c r="M110" s="53">
        <f t="shared" si="50"/>
        <v>0</v>
      </c>
      <c r="N110" s="53">
        <f t="shared" si="50"/>
        <v>0</v>
      </c>
      <c r="O110" s="53">
        <f t="shared" si="50"/>
        <v>0</v>
      </c>
      <c r="P110" s="53">
        <f t="shared" si="50"/>
        <v>0</v>
      </c>
      <c r="Q110" s="53">
        <f t="shared" si="50"/>
        <v>0</v>
      </c>
      <c r="R110" s="53">
        <f t="shared" si="50"/>
        <v>0</v>
      </c>
      <c r="S110" s="53">
        <f t="shared" si="50"/>
        <v>0</v>
      </c>
      <c r="T110" s="53">
        <f t="shared" si="50"/>
        <v>0</v>
      </c>
      <c r="U110" s="53">
        <f t="shared" si="50"/>
        <v>0</v>
      </c>
      <c r="V110" s="53">
        <f t="shared" si="50"/>
        <v>339000</v>
      </c>
    </row>
    <row r="111" spans="1:22" ht="13.5">
      <c r="A111" s="514" t="s">
        <v>278</v>
      </c>
      <c r="B111" s="515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</row>
    <row r="112" spans="1:22" ht="13.5">
      <c r="A112" s="512" t="s">
        <v>231</v>
      </c>
      <c r="B112" s="513"/>
      <c r="C112" s="53">
        <f>SUM(C111)</f>
        <v>0</v>
      </c>
      <c r="D112" s="53">
        <f aca="true" t="shared" si="51" ref="D112:V112">SUM(D111)</f>
        <v>0</v>
      </c>
      <c r="E112" s="53">
        <f t="shared" si="51"/>
        <v>0</v>
      </c>
      <c r="F112" s="53">
        <f t="shared" si="51"/>
        <v>0</v>
      </c>
      <c r="G112" s="53">
        <f t="shared" si="51"/>
        <v>0</v>
      </c>
      <c r="H112" s="53">
        <f t="shared" si="51"/>
        <v>0</v>
      </c>
      <c r="I112" s="53">
        <f t="shared" si="51"/>
        <v>0</v>
      </c>
      <c r="J112" s="53">
        <f t="shared" si="51"/>
        <v>0</v>
      </c>
      <c r="K112" s="53">
        <f t="shared" si="51"/>
        <v>0</v>
      </c>
      <c r="L112" s="53">
        <f t="shared" si="51"/>
        <v>0</v>
      </c>
      <c r="M112" s="53">
        <f t="shared" si="51"/>
        <v>0</v>
      </c>
      <c r="N112" s="53">
        <f t="shared" si="51"/>
        <v>0</v>
      </c>
      <c r="O112" s="53">
        <f t="shared" si="51"/>
        <v>0</v>
      </c>
      <c r="P112" s="53">
        <f t="shared" si="51"/>
        <v>0</v>
      </c>
      <c r="Q112" s="53">
        <f t="shared" si="51"/>
        <v>0</v>
      </c>
      <c r="R112" s="53">
        <f t="shared" si="51"/>
        <v>0</v>
      </c>
      <c r="S112" s="53">
        <f t="shared" si="51"/>
        <v>0</v>
      </c>
      <c r="T112" s="53">
        <f t="shared" si="51"/>
        <v>0</v>
      </c>
      <c r="U112" s="53">
        <f t="shared" si="51"/>
        <v>0</v>
      </c>
      <c r="V112" s="53">
        <f t="shared" si="51"/>
        <v>0</v>
      </c>
    </row>
    <row r="113" spans="1:22" ht="13.5">
      <c r="A113" s="514" t="s">
        <v>282</v>
      </c>
      <c r="B113" s="515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</row>
    <row r="114" spans="1:22" ht="13.5">
      <c r="A114" s="512" t="s">
        <v>231</v>
      </c>
      <c r="B114" s="513"/>
      <c r="C114" s="53">
        <f>SUM(C113)</f>
        <v>0</v>
      </c>
      <c r="D114" s="53">
        <f aca="true" t="shared" si="52" ref="D114:V114">SUM(D113)</f>
        <v>0</v>
      </c>
      <c r="E114" s="53">
        <f t="shared" si="52"/>
        <v>0</v>
      </c>
      <c r="F114" s="53">
        <f t="shared" si="52"/>
        <v>0</v>
      </c>
      <c r="G114" s="53">
        <f t="shared" si="52"/>
        <v>0</v>
      </c>
      <c r="H114" s="53">
        <f t="shared" si="52"/>
        <v>0</v>
      </c>
      <c r="I114" s="53">
        <f t="shared" si="52"/>
        <v>0</v>
      </c>
      <c r="J114" s="53">
        <f t="shared" si="52"/>
        <v>0</v>
      </c>
      <c r="K114" s="53">
        <f t="shared" si="52"/>
        <v>0</v>
      </c>
      <c r="L114" s="53">
        <f t="shared" si="52"/>
        <v>0</v>
      </c>
      <c r="M114" s="53">
        <f t="shared" si="52"/>
        <v>0</v>
      </c>
      <c r="N114" s="53">
        <f t="shared" si="52"/>
        <v>0</v>
      </c>
      <c r="O114" s="53">
        <f t="shared" si="52"/>
        <v>0</v>
      </c>
      <c r="P114" s="53">
        <f t="shared" si="52"/>
        <v>0</v>
      </c>
      <c r="Q114" s="53">
        <f t="shared" si="52"/>
        <v>0</v>
      </c>
      <c r="R114" s="53">
        <f t="shared" si="52"/>
        <v>0</v>
      </c>
      <c r="S114" s="53">
        <f t="shared" si="52"/>
        <v>0</v>
      </c>
      <c r="T114" s="53">
        <f t="shared" si="52"/>
        <v>0</v>
      </c>
      <c r="U114" s="53">
        <f t="shared" si="52"/>
        <v>0</v>
      </c>
      <c r="V114" s="53">
        <f t="shared" si="52"/>
        <v>0</v>
      </c>
    </row>
    <row r="115" spans="1:22" ht="13.5">
      <c r="A115" s="510" t="s">
        <v>230</v>
      </c>
      <c r="B115" s="511"/>
      <c r="C115" s="51">
        <f>SUM(C93,C95,C97,C99,C101,C103,C105,C107,C109,C111,C113)</f>
        <v>0</v>
      </c>
      <c r="D115" s="51">
        <f>SUM(D93,D95,D97,D99,D101,D103,D105,D107,D109,D111,D113)</f>
        <v>0</v>
      </c>
      <c r="E115" s="51">
        <f aca="true" t="shared" si="53" ref="E115:K115">SUM(E93,E95,E97,E99,E101,E103,E105,E107,E109,E111,E113)</f>
        <v>0</v>
      </c>
      <c r="F115" s="51">
        <f t="shared" si="53"/>
        <v>0</v>
      </c>
      <c r="G115" s="51">
        <f t="shared" si="53"/>
        <v>0</v>
      </c>
      <c r="H115" s="51">
        <f t="shared" si="53"/>
        <v>0</v>
      </c>
      <c r="I115" s="51">
        <f t="shared" si="53"/>
        <v>0</v>
      </c>
      <c r="J115" s="51">
        <f t="shared" si="53"/>
        <v>0</v>
      </c>
      <c r="K115" s="51">
        <f t="shared" si="53"/>
        <v>0</v>
      </c>
      <c r="L115" s="51">
        <f>SUM(L93,L95,L97,L99,L101,L103,L105,L107,L109,L111,L113)</f>
        <v>0</v>
      </c>
      <c r="M115" s="51">
        <f aca="true" t="shared" si="54" ref="M115:U115">SUM(M93,M95,M97,M99,M101,M103,M105,M107,M109,M111,M113)</f>
        <v>0</v>
      </c>
      <c r="N115" s="51">
        <f t="shared" si="54"/>
        <v>6200</v>
      </c>
      <c r="O115" s="51">
        <f t="shared" si="54"/>
        <v>0</v>
      </c>
      <c r="P115" s="51">
        <f t="shared" si="54"/>
        <v>0</v>
      </c>
      <c r="Q115" s="51">
        <f t="shared" si="54"/>
        <v>0</v>
      </c>
      <c r="R115" s="51">
        <f t="shared" si="54"/>
        <v>0</v>
      </c>
      <c r="S115" s="51">
        <f t="shared" si="54"/>
        <v>0</v>
      </c>
      <c r="T115" s="51">
        <f t="shared" si="54"/>
        <v>0</v>
      </c>
      <c r="U115" s="51">
        <f t="shared" si="54"/>
        <v>0</v>
      </c>
      <c r="V115" s="51">
        <f>SUM(V93,V95,V97,V99,V101,V103,V105,V107,V109,V111,V113)</f>
        <v>6200</v>
      </c>
    </row>
    <row r="116" spans="1:23" ht="13.5">
      <c r="A116" s="510" t="s">
        <v>231</v>
      </c>
      <c r="B116" s="511"/>
      <c r="C116" s="51">
        <f>+C114+C112+C110+C108+C106+C104+C102+C100+C98+C96+C94</f>
        <v>6000</v>
      </c>
      <c r="D116" s="51">
        <f>+D114+D112+D110+D108+D106+D104+D102+D100+D98+D96+D94</f>
        <v>0</v>
      </c>
      <c r="E116" s="51">
        <f>+E114+E112+E110+E108+E106+E104+E102+E100+E98+E96+E94</f>
        <v>0</v>
      </c>
      <c r="F116" s="51">
        <f>+F114+F112+F110+F108+F106+F104+F102+F100+F98+F96+F94</f>
        <v>0</v>
      </c>
      <c r="G116" s="51">
        <f>+G114+G112+G110+G108+G106+G104+G102+G100+G98+G96+G94</f>
        <v>0</v>
      </c>
      <c r="H116" s="51">
        <f>+H114+H112+H110+H108+H106+H104+H102+H100+H98+H96+H94</f>
        <v>0</v>
      </c>
      <c r="I116" s="51">
        <f>+I114+I112+I110+I108+I106+I104+I102+I100+I98+I96+I94</f>
        <v>0</v>
      </c>
      <c r="J116" s="51">
        <f>+J114+J112+J110+J108+J106+J104+J102+J100+J98+J96+J94</f>
        <v>0</v>
      </c>
      <c r="K116" s="51">
        <f>+K114+K112+K110+K108+K106+K104+K102+K100+K98+K96+K94</f>
        <v>0</v>
      </c>
      <c r="L116" s="51">
        <f>+L114+L112+L110+L108+L106+L104+L102+L100+L98+L96+L94</f>
        <v>349000</v>
      </c>
      <c r="M116" s="51">
        <f aca="true" t="shared" si="55" ref="M116:U116">+M114+M112+M110+M108+M106+M104+M102+M100+M98+M96+M94</f>
        <v>0</v>
      </c>
      <c r="N116" s="51">
        <f t="shared" si="55"/>
        <v>11200</v>
      </c>
      <c r="O116" s="51">
        <f t="shared" si="55"/>
        <v>0</v>
      </c>
      <c r="P116" s="51">
        <f t="shared" si="55"/>
        <v>0</v>
      </c>
      <c r="Q116" s="51">
        <f t="shared" si="55"/>
        <v>0</v>
      </c>
      <c r="R116" s="51">
        <f t="shared" si="55"/>
        <v>0</v>
      </c>
      <c r="S116" s="51">
        <f t="shared" si="55"/>
        <v>0</v>
      </c>
      <c r="T116" s="51">
        <f t="shared" si="55"/>
        <v>0</v>
      </c>
      <c r="U116" s="51">
        <f t="shared" si="55"/>
        <v>172347.83</v>
      </c>
      <c r="V116" s="51">
        <f>+V114+V112+V110+V108+V106+V104+V102+V100+V98+V96+V94</f>
        <v>532547.83</v>
      </c>
      <c r="W116" s="339">
        <f>+V87+V115</f>
        <v>532547.83</v>
      </c>
    </row>
  </sheetData>
  <sheetProtection/>
  <mergeCells count="144">
    <mergeCell ref="A111:B111"/>
    <mergeCell ref="A112:B112"/>
    <mergeCell ref="A113:B113"/>
    <mergeCell ref="A114:B114"/>
    <mergeCell ref="A115:B115"/>
    <mergeCell ref="A116:B116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8:V88"/>
    <mergeCell ref="A89:V89"/>
    <mergeCell ref="A90:V90"/>
    <mergeCell ref="A91:B91"/>
    <mergeCell ref="C91:D91"/>
    <mergeCell ref="F91:G91"/>
    <mergeCell ref="H91:I91"/>
    <mergeCell ref="K91:M91"/>
    <mergeCell ref="O91:Q91"/>
    <mergeCell ref="R91:S91"/>
    <mergeCell ref="V91:V92"/>
    <mergeCell ref="A92:B92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V59"/>
    <mergeCell ref="A60:V60"/>
    <mergeCell ref="A61:V61"/>
    <mergeCell ref="A62:B62"/>
    <mergeCell ref="C62:D62"/>
    <mergeCell ref="F62:G62"/>
    <mergeCell ref="H62:I62"/>
    <mergeCell ref="K62:M62"/>
    <mergeCell ref="O62:Q62"/>
    <mergeCell ref="R62:S62"/>
    <mergeCell ref="V62:V63"/>
    <mergeCell ref="A63:B63"/>
    <mergeCell ref="A11:B11"/>
    <mergeCell ref="A12:B12"/>
    <mergeCell ref="A13:B13"/>
    <mergeCell ref="A14:B14"/>
    <mergeCell ref="A1:V1"/>
    <mergeCell ref="A2:V2"/>
    <mergeCell ref="A3:V3"/>
    <mergeCell ref="A4:B4"/>
    <mergeCell ref="C4:D4"/>
    <mergeCell ref="F4:G4"/>
    <mergeCell ref="H4:I4"/>
    <mergeCell ref="K4:M4"/>
    <mergeCell ref="O4:Q4"/>
    <mergeCell ref="R4:S4"/>
    <mergeCell ref="V4:V5"/>
    <mergeCell ref="A5:B5"/>
    <mergeCell ref="A6:B6"/>
    <mergeCell ref="A7:B7"/>
    <mergeCell ref="A8:B8"/>
    <mergeCell ref="A9:B9"/>
    <mergeCell ref="A10:B10"/>
    <mergeCell ref="A29:B29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V30"/>
    <mergeCell ref="A31:V31"/>
    <mergeCell ref="A32:V32"/>
    <mergeCell ref="A33:B33"/>
    <mergeCell ref="C33:D33"/>
    <mergeCell ref="F33:G33"/>
    <mergeCell ref="H33:I33"/>
    <mergeCell ref="K33:M33"/>
    <mergeCell ref="O33:Q33"/>
    <mergeCell ref="R33:S33"/>
    <mergeCell ref="V33:V34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8:B58"/>
    <mergeCell ref="A50:B50"/>
    <mergeCell ref="A51:B51"/>
    <mergeCell ref="A52:B52"/>
    <mergeCell ref="A53:B53"/>
    <mergeCell ref="A54:B54"/>
    <mergeCell ref="A44:B44"/>
    <mergeCell ref="A45:B45"/>
    <mergeCell ref="A46:B46"/>
    <mergeCell ref="A47:B47"/>
    <mergeCell ref="A48:B48"/>
    <mergeCell ref="A49:B49"/>
    <mergeCell ref="A55:B55"/>
    <mergeCell ref="A56:B56"/>
    <mergeCell ref="A57:B57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110" r:id="rId1"/>
  <rowBreaks count="3" manualBreakCount="3">
    <brk id="29" max="21" man="1"/>
    <brk id="58" max="21" man="1"/>
    <brk id="87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C19"/>
  <sheetViews>
    <sheetView view="pageBreakPreview" zoomScale="80" zoomScaleSheetLayoutView="80" zoomScalePageLayoutView="0" workbookViewId="0" topLeftCell="AO1">
      <selection activeCell="AW11" sqref="AW11"/>
    </sheetView>
  </sheetViews>
  <sheetFormatPr defaultColWidth="9.140625" defaultRowHeight="12.75"/>
  <cols>
    <col min="1" max="1" width="53.7109375" style="252" customWidth="1"/>
    <col min="2" max="2" width="15.8515625" style="252" customWidth="1"/>
    <col min="3" max="3" width="15.140625" style="252" customWidth="1"/>
    <col min="4" max="4" width="15.57421875" style="252" customWidth="1"/>
    <col min="5" max="5" width="16.57421875" style="252" customWidth="1"/>
    <col min="6" max="6" width="14.421875" style="252" customWidth="1"/>
    <col min="7" max="7" width="16.00390625" style="252" customWidth="1"/>
    <col min="8" max="8" width="13.140625" style="252" customWidth="1"/>
    <col min="9" max="9" width="12.8515625" style="252" customWidth="1"/>
    <col min="10" max="10" width="14.28125" style="252" customWidth="1"/>
    <col min="11" max="11" width="14.7109375" style="252" customWidth="1"/>
    <col min="12" max="12" width="16.421875" style="252" customWidth="1"/>
    <col min="13" max="13" width="15.57421875" style="252" hidden="1" customWidth="1"/>
    <col min="14" max="14" width="15.57421875" style="252" customWidth="1"/>
    <col min="15" max="15" width="15.140625" style="252" customWidth="1"/>
    <col min="16" max="16" width="15.8515625" style="252" customWidth="1"/>
    <col min="17" max="17" width="15.421875" style="252" customWidth="1"/>
    <col min="18" max="18" width="14.8515625" style="252" customWidth="1"/>
    <col min="19" max="19" width="14.421875" style="252" customWidth="1"/>
    <col min="20" max="20" width="15.00390625" style="252" customWidth="1"/>
    <col min="21" max="21" width="13.140625" style="252" customWidth="1"/>
    <col min="22" max="22" width="15.00390625" style="252" customWidth="1"/>
    <col min="23" max="23" width="12.421875" style="252" customWidth="1"/>
    <col min="24" max="24" width="12.57421875" style="252" customWidth="1"/>
    <col min="25" max="25" width="16.57421875" style="252" customWidth="1"/>
    <col min="26" max="26" width="15.8515625" style="252" customWidth="1"/>
    <col min="27" max="27" width="17.8515625" style="252" customWidth="1"/>
    <col min="28" max="28" width="15.57421875" style="252" customWidth="1"/>
    <col min="29" max="29" width="16.57421875" style="252" customWidth="1"/>
    <col min="30" max="30" width="15.8515625" style="252" customWidth="1"/>
    <col min="31" max="31" width="17.8515625" style="252" customWidth="1"/>
    <col min="32" max="32" width="16.28125" style="252" customWidth="1"/>
    <col min="33" max="33" width="16.57421875" style="252" customWidth="1"/>
    <col min="34" max="34" width="15.8515625" style="252" customWidth="1"/>
    <col min="35" max="35" width="17.8515625" style="252" customWidth="1"/>
    <col min="36" max="36" width="18.421875" style="252" customWidth="1"/>
    <col min="37" max="37" width="19.140625" style="252" customWidth="1"/>
    <col min="38" max="38" width="15.8515625" style="252" customWidth="1"/>
    <col min="39" max="39" width="17.8515625" style="252" customWidth="1"/>
    <col min="40" max="40" width="14.8515625" style="252" customWidth="1"/>
    <col min="41" max="41" width="15.57421875" style="252" customWidth="1"/>
    <col min="42" max="43" width="16.57421875" style="252" customWidth="1"/>
    <col min="44" max="44" width="17.8515625" style="252" customWidth="1"/>
    <col min="45" max="45" width="17.140625" style="252" customWidth="1"/>
    <col min="46" max="46" width="16.57421875" style="252" customWidth="1"/>
    <col min="47" max="47" width="15.8515625" style="252" customWidth="1"/>
    <col min="48" max="48" width="17.8515625" style="252" customWidth="1"/>
    <col min="49" max="49" width="15.57421875" style="252" customWidth="1"/>
    <col min="50" max="50" width="16.57421875" style="252" customWidth="1"/>
    <col min="51" max="51" width="16.00390625" style="285" customWidth="1"/>
    <col min="52" max="52" width="16.7109375" style="285" customWidth="1"/>
    <col min="53" max="53" width="16.8515625" style="285" customWidth="1"/>
    <col min="54" max="54" width="16.7109375" style="285" customWidth="1"/>
    <col min="55" max="55" width="16.140625" style="285" customWidth="1"/>
    <col min="56" max="16384" width="9.140625" style="252" customWidth="1"/>
  </cols>
  <sheetData>
    <row r="1" spans="1:55" s="274" customFormat="1" ht="21">
      <c r="A1" s="528" t="s">
        <v>0</v>
      </c>
      <c r="B1" s="524" t="s">
        <v>418</v>
      </c>
      <c r="C1" s="524"/>
      <c r="D1" s="524"/>
      <c r="E1" s="525"/>
      <c r="F1" s="524" t="s">
        <v>419</v>
      </c>
      <c r="G1" s="524"/>
      <c r="H1" s="524"/>
      <c r="I1" s="524"/>
      <c r="J1" s="525"/>
      <c r="K1" s="524" t="s">
        <v>422</v>
      </c>
      <c r="L1" s="524"/>
      <c r="M1" s="524"/>
      <c r="N1" s="524"/>
      <c r="O1" s="525"/>
      <c r="P1" s="524" t="s">
        <v>423</v>
      </c>
      <c r="Q1" s="524"/>
      <c r="R1" s="524"/>
      <c r="S1" s="524"/>
      <c r="T1" s="525"/>
      <c r="U1" s="524" t="s">
        <v>424</v>
      </c>
      <c r="V1" s="524"/>
      <c r="W1" s="524"/>
      <c r="X1" s="524"/>
      <c r="Y1" s="525"/>
      <c r="Z1" s="524" t="s">
        <v>417</v>
      </c>
      <c r="AA1" s="524"/>
      <c r="AB1" s="524"/>
      <c r="AC1" s="525"/>
      <c r="AD1" s="524" t="s">
        <v>413</v>
      </c>
      <c r="AE1" s="524"/>
      <c r="AF1" s="524"/>
      <c r="AG1" s="525"/>
      <c r="AH1" s="524" t="s">
        <v>429</v>
      </c>
      <c r="AI1" s="524"/>
      <c r="AJ1" s="524"/>
      <c r="AK1" s="525"/>
      <c r="AL1" s="524" t="s">
        <v>430</v>
      </c>
      <c r="AM1" s="524"/>
      <c r="AN1" s="524"/>
      <c r="AO1" s="524"/>
      <c r="AP1" s="525"/>
      <c r="AQ1" s="524" t="s">
        <v>431</v>
      </c>
      <c r="AR1" s="524"/>
      <c r="AS1" s="524"/>
      <c r="AT1" s="525"/>
      <c r="AU1" s="524" t="s">
        <v>432</v>
      </c>
      <c r="AV1" s="524"/>
      <c r="AW1" s="524"/>
      <c r="AX1" s="525"/>
      <c r="AY1" s="526" t="s">
        <v>454</v>
      </c>
      <c r="AZ1" s="526"/>
      <c r="BA1" s="526"/>
      <c r="BB1" s="526"/>
      <c r="BC1" s="527"/>
    </row>
    <row r="2" spans="1:55" s="274" customFormat="1" ht="21">
      <c r="A2" s="529"/>
      <c r="B2" s="275" t="s">
        <v>292</v>
      </c>
      <c r="C2" s="276" t="s">
        <v>293</v>
      </c>
      <c r="D2" s="276" t="s">
        <v>421</v>
      </c>
      <c r="E2" s="276" t="s">
        <v>294</v>
      </c>
      <c r="F2" s="275" t="s">
        <v>292</v>
      </c>
      <c r="G2" s="276" t="s">
        <v>293</v>
      </c>
      <c r="H2" s="276" t="s">
        <v>420</v>
      </c>
      <c r="I2" s="276" t="s">
        <v>421</v>
      </c>
      <c r="J2" s="276" t="s">
        <v>294</v>
      </c>
      <c r="K2" s="275" t="s">
        <v>292</v>
      </c>
      <c r="L2" s="276" t="s">
        <v>293</v>
      </c>
      <c r="M2" s="276" t="s">
        <v>420</v>
      </c>
      <c r="N2" s="276" t="s">
        <v>421</v>
      </c>
      <c r="O2" s="276" t="s">
        <v>294</v>
      </c>
      <c r="P2" s="275" t="s">
        <v>292</v>
      </c>
      <c r="Q2" s="276" t="s">
        <v>293</v>
      </c>
      <c r="R2" s="276" t="s">
        <v>420</v>
      </c>
      <c r="S2" s="276" t="s">
        <v>421</v>
      </c>
      <c r="T2" s="276" t="s">
        <v>294</v>
      </c>
      <c r="U2" s="275" t="s">
        <v>292</v>
      </c>
      <c r="V2" s="276" t="s">
        <v>293</v>
      </c>
      <c r="W2" s="276" t="s">
        <v>420</v>
      </c>
      <c r="X2" s="276" t="s">
        <v>421</v>
      </c>
      <c r="Y2" s="276" t="s">
        <v>294</v>
      </c>
      <c r="Z2" s="275" t="s">
        <v>292</v>
      </c>
      <c r="AA2" s="276" t="s">
        <v>293</v>
      </c>
      <c r="AB2" s="276" t="s">
        <v>412</v>
      </c>
      <c r="AC2" s="276" t="s">
        <v>294</v>
      </c>
      <c r="AD2" s="275" t="s">
        <v>292</v>
      </c>
      <c r="AE2" s="276" t="s">
        <v>293</v>
      </c>
      <c r="AF2" s="276" t="s">
        <v>412</v>
      </c>
      <c r="AG2" s="276" t="s">
        <v>294</v>
      </c>
      <c r="AH2" s="275" t="s">
        <v>292</v>
      </c>
      <c r="AI2" s="276" t="s">
        <v>293</v>
      </c>
      <c r="AJ2" s="276" t="s">
        <v>412</v>
      </c>
      <c r="AK2" s="276" t="s">
        <v>294</v>
      </c>
      <c r="AL2" s="275" t="s">
        <v>292</v>
      </c>
      <c r="AM2" s="276" t="s">
        <v>293</v>
      </c>
      <c r="AN2" s="276" t="s">
        <v>452</v>
      </c>
      <c r="AO2" s="276" t="s">
        <v>421</v>
      </c>
      <c r="AP2" s="276" t="s">
        <v>294</v>
      </c>
      <c r="AQ2" s="275" t="s">
        <v>292</v>
      </c>
      <c r="AR2" s="276" t="s">
        <v>293</v>
      </c>
      <c r="AS2" s="276" t="s">
        <v>453</v>
      </c>
      <c r="AT2" s="276" t="s">
        <v>294</v>
      </c>
      <c r="AU2" s="275" t="s">
        <v>292</v>
      </c>
      <c r="AV2" s="276" t="s">
        <v>293</v>
      </c>
      <c r="AW2" s="276" t="s">
        <v>412</v>
      </c>
      <c r="AX2" s="276" t="s">
        <v>294</v>
      </c>
      <c r="AY2" s="280" t="s">
        <v>433</v>
      </c>
      <c r="AZ2" s="281" t="s">
        <v>434</v>
      </c>
      <c r="BA2" s="281" t="s">
        <v>420</v>
      </c>
      <c r="BB2" s="281" t="s">
        <v>435</v>
      </c>
      <c r="BC2" s="281" t="s">
        <v>294</v>
      </c>
    </row>
    <row r="3" spans="1:55" ht="21">
      <c r="A3" s="260" t="s">
        <v>411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82"/>
      <c r="AZ3" s="282"/>
      <c r="BA3" s="282"/>
      <c r="BB3" s="282"/>
      <c r="BC3" s="282"/>
    </row>
    <row r="4" spans="1:55" ht="21">
      <c r="A4" s="261" t="s">
        <v>318</v>
      </c>
      <c r="B4" s="268">
        <v>4781400</v>
      </c>
      <c r="C4" s="268">
        <v>0</v>
      </c>
      <c r="D4" s="268">
        <v>0</v>
      </c>
      <c r="E4" s="268">
        <f>+B4-C4-D4</f>
        <v>4781400</v>
      </c>
      <c r="F4" s="268">
        <v>0</v>
      </c>
      <c r="G4" s="268">
        <f>146000+796900+794400+646400</f>
        <v>2383700</v>
      </c>
      <c r="H4" s="268">
        <v>700</v>
      </c>
      <c r="I4" s="268">
        <v>0</v>
      </c>
      <c r="J4" s="268">
        <f>+E4+H4+F4-G4-I4</f>
        <v>2398400</v>
      </c>
      <c r="K4" s="268">
        <v>0</v>
      </c>
      <c r="L4" s="268">
        <f>145300+645600</f>
        <v>790900</v>
      </c>
      <c r="M4" s="268">
        <v>0</v>
      </c>
      <c r="N4" s="268">
        <v>0</v>
      </c>
      <c r="O4" s="268">
        <f>+J4+K4+M4-L4-N4</f>
        <v>1607500</v>
      </c>
      <c r="P4" s="268">
        <v>4754400</v>
      </c>
      <c r="Q4" s="268">
        <f>143500+643700</f>
        <v>787200</v>
      </c>
      <c r="R4" s="268">
        <v>0</v>
      </c>
      <c r="S4" s="268">
        <v>0</v>
      </c>
      <c r="T4" s="268">
        <f>+O4+P4+R4-Q4-S4</f>
        <v>5574700</v>
      </c>
      <c r="U4" s="268">
        <v>0</v>
      </c>
      <c r="V4" s="268">
        <f>643100+140000</f>
        <v>783100</v>
      </c>
      <c r="W4" s="268">
        <v>0</v>
      </c>
      <c r="X4" s="268">
        <v>93000</v>
      </c>
      <c r="Y4" s="268">
        <f>+T4+U4+W4-V4-X4</f>
        <v>4698600</v>
      </c>
      <c r="Z4" s="268">
        <v>0</v>
      </c>
      <c r="AA4" s="268">
        <f>139900+640400</f>
        <v>780300</v>
      </c>
      <c r="AB4" s="268">
        <v>16800</v>
      </c>
      <c r="AC4" s="268">
        <f>+Y4+Z4-AA4-AB4</f>
        <v>3901500</v>
      </c>
      <c r="AD4" s="268">
        <v>0</v>
      </c>
      <c r="AE4" s="268">
        <f>141100+637000</f>
        <v>778100</v>
      </c>
      <c r="AF4" s="268">
        <v>11000</v>
      </c>
      <c r="AG4" s="268">
        <f>+AC4+AD4-AE4-AF4</f>
        <v>3112400</v>
      </c>
      <c r="AH4" s="268"/>
      <c r="AI4" s="268">
        <f>137800+636000</f>
        <v>773800</v>
      </c>
      <c r="AJ4" s="268">
        <v>17200</v>
      </c>
      <c r="AK4" s="268">
        <f aca="true" t="shared" si="0" ref="AK4:AK10">+AG4+AH4-AI4-AJ4</f>
        <v>2321400</v>
      </c>
      <c r="AL4" s="268"/>
      <c r="AM4" s="268">
        <f>135300+635400</f>
        <v>770700</v>
      </c>
      <c r="AN4" s="268">
        <v>3600</v>
      </c>
      <c r="AO4" s="268">
        <v>11400</v>
      </c>
      <c r="AP4" s="268">
        <f>+AK4+AL4+AN4-AM4-AO4</f>
        <v>1542900</v>
      </c>
      <c r="AQ4" s="268"/>
      <c r="AR4" s="268">
        <f>133000+635200</f>
        <v>768200</v>
      </c>
      <c r="AS4" s="268">
        <v>5000</v>
      </c>
      <c r="AT4" s="268">
        <f>+AP4+AQ4-AR4-AS4</f>
        <v>769700</v>
      </c>
      <c r="AU4" s="268"/>
      <c r="AV4" s="268"/>
      <c r="AW4" s="268"/>
      <c r="AX4" s="268">
        <f aca="true" t="shared" si="1" ref="AX4:AX10">+AT4+AU4-AV4-AW4</f>
        <v>769700</v>
      </c>
      <c r="AY4" s="283">
        <f>+B4+F4+K4+P4+U4+Z4+AD4+AH4+AL4+AQ4+AU4</f>
        <v>9535800</v>
      </c>
      <c r="AZ4" s="283">
        <f>+C4+G4+L4+Q4+V4+AA4+AE4+AI4+AM4+AR4+AV4</f>
        <v>8616000</v>
      </c>
      <c r="BA4" s="283">
        <f>+H4+R4+W4+AN4</f>
        <v>4300</v>
      </c>
      <c r="BB4" s="283">
        <f>+D4+I4+N4+S4+X4+AB4+AF4+AJ4+AO4+AS4+AW4</f>
        <v>154400</v>
      </c>
      <c r="BC4" s="283">
        <f>+AY4-AZ4-BB4+BA4</f>
        <v>769700</v>
      </c>
    </row>
    <row r="5" spans="1:55" ht="21">
      <c r="A5" s="261" t="s">
        <v>124</v>
      </c>
      <c r="B5" s="268">
        <v>0</v>
      </c>
      <c r="C5" s="268">
        <v>0</v>
      </c>
      <c r="D5" s="268">
        <v>0</v>
      </c>
      <c r="E5" s="268">
        <f aca="true" t="shared" si="2" ref="E5:E16">+B5-C5-D5</f>
        <v>0</v>
      </c>
      <c r="F5" s="268">
        <v>522000</v>
      </c>
      <c r="G5" s="268">
        <f>87000+87000+87000</f>
        <v>261000</v>
      </c>
      <c r="H5" s="268">
        <v>0</v>
      </c>
      <c r="I5" s="268">
        <v>0</v>
      </c>
      <c r="J5" s="268">
        <f>+E5+H5+F5-G5-I5</f>
        <v>261000</v>
      </c>
      <c r="K5" s="268">
        <v>0</v>
      </c>
      <c r="L5" s="268">
        <f>30500+56000</f>
        <v>86500</v>
      </c>
      <c r="M5" s="268">
        <v>0</v>
      </c>
      <c r="N5" s="268">
        <v>0</v>
      </c>
      <c r="O5" s="268">
        <f aca="true" t="shared" si="3" ref="O5:O16">+J5+K5+M5-L5-N5</f>
        <v>174500</v>
      </c>
      <c r="P5" s="268">
        <v>522000</v>
      </c>
      <c r="Q5" s="268">
        <f>30000+56500</f>
        <v>86500</v>
      </c>
      <c r="R5" s="268">
        <v>0</v>
      </c>
      <c r="S5" s="268">
        <v>0</v>
      </c>
      <c r="T5" s="268">
        <f aca="true" t="shared" si="4" ref="T5:T16">+O5+P5+R5-Q5-S5</f>
        <v>610000</v>
      </c>
      <c r="U5" s="268">
        <v>0</v>
      </c>
      <c r="V5" s="268">
        <f>30000+56000</f>
        <v>86000</v>
      </c>
      <c r="W5" s="268">
        <v>0</v>
      </c>
      <c r="X5" s="268">
        <v>8000</v>
      </c>
      <c r="Y5" s="268">
        <f aca="true" t="shared" si="5" ref="Y5:Y16">+T5+U5+W5-V5-X5</f>
        <v>516000</v>
      </c>
      <c r="Z5" s="268">
        <v>0</v>
      </c>
      <c r="AA5" s="268">
        <f>30000+56000</f>
        <v>86000</v>
      </c>
      <c r="AB5" s="268">
        <v>0</v>
      </c>
      <c r="AC5" s="268">
        <f aca="true" t="shared" si="6" ref="AC5:AC17">+Y5+Z5-AA5-AB5</f>
        <v>430000</v>
      </c>
      <c r="AD5" s="268">
        <v>0</v>
      </c>
      <c r="AE5" s="268">
        <f>30000+55500</f>
        <v>85500</v>
      </c>
      <c r="AF5" s="268">
        <v>2500</v>
      </c>
      <c r="AG5" s="268">
        <f aca="true" t="shared" si="7" ref="AG5:AG16">+AC5+AD5-AE5-AF5</f>
        <v>342000</v>
      </c>
      <c r="AH5" s="268"/>
      <c r="AI5" s="268">
        <f>29500+55500</f>
        <v>85000</v>
      </c>
      <c r="AJ5" s="268">
        <v>2000</v>
      </c>
      <c r="AK5" s="268">
        <f t="shared" si="0"/>
        <v>255000</v>
      </c>
      <c r="AL5" s="268"/>
      <c r="AM5" s="268">
        <f>29000+55500</f>
        <v>84500</v>
      </c>
      <c r="AN5" s="268">
        <v>1500</v>
      </c>
      <c r="AO5" s="268">
        <v>3000</v>
      </c>
      <c r="AP5" s="268">
        <f>+AK5+AL5+AN5-AM5-AO5</f>
        <v>169000</v>
      </c>
      <c r="AQ5" s="268"/>
      <c r="AR5" s="268">
        <f>28500+55500</f>
        <v>84000</v>
      </c>
      <c r="AS5" s="268">
        <v>2500</v>
      </c>
      <c r="AT5" s="268">
        <f aca="true" t="shared" si="8" ref="AT5:AT16">+AP5+AQ5-AR5-AS5</f>
        <v>82500</v>
      </c>
      <c r="AU5" s="268"/>
      <c r="AV5" s="268"/>
      <c r="AW5" s="268"/>
      <c r="AX5" s="268">
        <f t="shared" si="1"/>
        <v>82500</v>
      </c>
      <c r="AY5" s="283">
        <f aca="true" t="shared" si="9" ref="AY5:AY16">+B5+F5+K5+P5+U5+Z5+AD5+AH5+AL5+AQ5+AU5</f>
        <v>1044000</v>
      </c>
      <c r="AZ5" s="283">
        <f aca="true" t="shared" si="10" ref="AZ5:AZ16">+C5+G5+L5+Q5+V5+AA5+AE5+AI5+AM5+AR5+AV5</f>
        <v>945000</v>
      </c>
      <c r="BA5" s="283">
        <f aca="true" t="shared" si="11" ref="BA5:BA16">+H5+R5+W5+AN5</f>
        <v>1500</v>
      </c>
      <c r="BB5" s="283">
        <f aca="true" t="shared" si="12" ref="BB5:BB16">+D5+I5+N5+S5+X5+AB5+AF5+AJ5+AO5+AS5+AW5</f>
        <v>18000</v>
      </c>
      <c r="BC5" s="283">
        <f aca="true" t="shared" si="13" ref="BC5:BC16">+AY5-AZ5-BB5+BA5</f>
        <v>82500</v>
      </c>
    </row>
    <row r="6" spans="1:55" ht="21" hidden="1">
      <c r="A6" s="261" t="s">
        <v>344</v>
      </c>
      <c r="B6" s="268"/>
      <c r="C6" s="268"/>
      <c r="D6" s="268"/>
      <c r="E6" s="268">
        <f t="shared" si="2"/>
        <v>0</v>
      </c>
      <c r="F6" s="268"/>
      <c r="G6" s="268"/>
      <c r="H6" s="268"/>
      <c r="I6" s="268">
        <v>0</v>
      </c>
      <c r="J6" s="268">
        <f aca="true" t="shared" si="14" ref="J6:J17">+E6+H6+F6-G6-I6</f>
        <v>0</v>
      </c>
      <c r="K6" s="268">
        <v>0</v>
      </c>
      <c r="L6" s="268"/>
      <c r="M6" s="268"/>
      <c r="N6" s="268"/>
      <c r="O6" s="268">
        <f t="shared" si="3"/>
        <v>0</v>
      </c>
      <c r="P6" s="268"/>
      <c r="Q6" s="268"/>
      <c r="R6" s="268"/>
      <c r="S6" s="268"/>
      <c r="T6" s="268">
        <f t="shared" si="4"/>
        <v>0</v>
      </c>
      <c r="U6" s="268"/>
      <c r="V6" s="268"/>
      <c r="W6" s="268"/>
      <c r="X6" s="268"/>
      <c r="Y6" s="268">
        <f t="shared" si="5"/>
        <v>0</v>
      </c>
      <c r="Z6" s="268"/>
      <c r="AA6" s="268"/>
      <c r="AB6" s="268"/>
      <c r="AC6" s="268">
        <f t="shared" si="6"/>
        <v>0</v>
      </c>
      <c r="AD6" s="268"/>
      <c r="AE6" s="268"/>
      <c r="AF6" s="268"/>
      <c r="AG6" s="268">
        <f t="shared" si="7"/>
        <v>0</v>
      </c>
      <c r="AH6" s="268"/>
      <c r="AI6" s="268"/>
      <c r="AJ6" s="268"/>
      <c r="AK6" s="268">
        <f t="shared" si="0"/>
        <v>0</v>
      </c>
      <c r="AL6" s="268"/>
      <c r="AM6" s="268"/>
      <c r="AN6" s="268"/>
      <c r="AO6" s="268"/>
      <c r="AP6" s="268">
        <f aca="true" t="shared" si="15" ref="AP6:AP17">+AK6+AL6+AN6-AM6-AO6</f>
        <v>0</v>
      </c>
      <c r="AQ6" s="268"/>
      <c r="AR6" s="268"/>
      <c r="AS6" s="268"/>
      <c r="AT6" s="268">
        <f t="shared" si="8"/>
        <v>0</v>
      </c>
      <c r="AU6" s="268"/>
      <c r="AV6" s="268"/>
      <c r="AW6" s="268"/>
      <c r="AX6" s="268">
        <f t="shared" si="1"/>
        <v>0</v>
      </c>
      <c r="AY6" s="283">
        <f t="shared" si="9"/>
        <v>0</v>
      </c>
      <c r="AZ6" s="283">
        <f t="shared" si="10"/>
        <v>0</v>
      </c>
      <c r="BA6" s="283">
        <f t="shared" si="11"/>
        <v>0</v>
      </c>
      <c r="BB6" s="283">
        <f t="shared" si="12"/>
        <v>0</v>
      </c>
      <c r="BC6" s="283">
        <f t="shared" si="13"/>
        <v>0</v>
      </c>
    </row>
    <row r="7" spans="1:55" ht="21">
      <c r="A7" s="261" t="s">
        <v>346</v>
      </c>
      <c r="B7" s="268"/>
      <c r="C7" s="268"/>
      <c r="D7" s="268"/>
      <c r="E7" s="268">
        <f t="shared" si="2"/>
        <v>0</v>
      </c>
      <c r="F7" s="268"/>
      <c r="G7" s="268"/>
      <c r="H7" s="268"/>
      <c r="I7" s="268">
        <v>0</v>
      </c>
      <c r="J7" s="268">
        <f t="shared" si="14"/>
        <v>0</v>
      </c>
      <c r="K7" s="268">
        <v>6120</v>
      </c>
      <c r="L7" s="268"/>
      <c r="M7" s="268"/>
      <c r="N7" s="268"/>
      <c r="O7" s="268">
        <f t="shared" si="3"/>
        <v>6120</v>
      </c>
      <c r="P7" s="268">
        <v>1800</v>
      </c>
      <c r="Q7" s="268">
        <f>1800+1440+1440</f>
        <v>4680</v>
      </c>
      <c r="R7" s="268">
        <v>0</v>
      </c>
      <c r="S7" s="268">
        <v>0</v>
      </c>
      <c r="T7" s="268">
        <f t="shared" si="4"/>
        <v>3240</v>
      </c>
      <c r="U7" s="268">
        <v>1800</v>
      </c>
      <c r="V7" s="268">
        <f>1800+1440</f>
        <v>3240</v>
      </c>
      <c r="W7" s="268">
        <v>0</v>
      </c>
      <c r="X7" s="268">
        <v>0</v>
      </c>
      <c r="Y7" s="268">
        <f t="shared" si="5"/>
        <v>1800</v>
      </c>
      <c r="Z7" s="268">
        <v>0</v>
      </c>
      <c r="AA7" s="268">
        <v>1800</v>
      </c>
      <c r="AB7" s="268">
        <v>0</v>
      </c>
      <c r="AC7" s="268">
        <f t="shared" si="6"/>
        <v>0</v>
      </c>
      <c r="AD7" s="268">
        <v>3600</v>
      </c>
      <c r="AE7" s="268">
        <v>0</v>
      </c>
      <c r="AF7" s="268">
        <v>0</v>
      </c>
      <c r="AG7" s="268">
        <f t="shared" si="7"/>
        <v>3600</v>
      </c>
      <c r="AH7" s="268">
        <v>1800</v>
      </c>
      <c r="AI7" s="268">
        <f>1800+1800+1800</f>
        <v>5400</v>
      </c>
      <c r="AJ7" s="268"/>
      <c r="AK7" s="268">
        <f t="shared" si="0"/>
        <v>0</v>
      </c>
      <c r="AL7" s="268"/>
      <c r="AM7" s="268"/>
      <c r="AN7" s="268"/>
      <c r="AO7" s="268"/>
      <c r="AP7" s="268">
        <f t="shared" si="15"/>
        <v>0</v>
      </c>
      <c r="AQ7" s="268"/>
      <c r="AR7" s="268"/>
      <c r="AS7" s="268"/>
      <c r="AT7" s="268">
        <f t="shared" si="8"/>
        <v>0</v>
      </c>
      <c r="AU7" s="268"/>
      <c r="AV7" s="268"/>
      <c r="AW7" s="268"/>
      <c r="AX7" s="268">
        <f t="shared" si="1"/>
        <v>0</v>
      </c>
      <c r="AY7" s="283">
        <f t="shared" si="9"/>
        <v>15120</v>
      </c>
      <c r="AZ7" s="283">
        <f t="shared" si="10"/>
        <v>15120</v>
      </c>
      <c r="BA7" s="283">
        <f t="shared" si="11"/>
        <v>0</v>
      </c>
      <c r="BB7" s="283">
        <f t="shared" si="12"/>
        <v>0</v>
      </c>
      <c r="BC7" s="283">
        <f t="shared" si="13"/>
        <v>0</v>
      </c>
    </row>
    <row r="8" spans="1:55" ht="21">
      <c r="A8" s="272" t="s">
        <v>414</v>
      </c>
      <c r="B8" s="268"/>
      <c r="C8" s="268"/>
      <c r="D8" s="268"/>
      <c r="E8" s="268">
        <f t="shared" si="2"/>
        <v>0</v>
      </c>
      <c r="F8" s="268"/>
      <c r="G8" s="268"/>
      <c r="H8" s="268"/>
      <c r="I8" s="268">
        <v>0</v>
      </c>
      <c r="J8" s="268">
        <f t="shared" si="14"/>
        <v>0</v>
      </c>
      <c r="K8" s="268"/>
      <c r="L8" s="268"/>
      <c r="M8" s="268"/>
      <c r="N8" s="268"/>
      <c r="O8" s="268">
        <f t="shared" si="3"/>
        <v>0</v>
      </c>
      <c r="P8" s="268"/>
      <c r="Q8" s="268"/>
      <c r="R8" s="268"/>
      <c r="S8" s="268"/>
      <c r="T8" s="268">
        <f t="shared" si="4"/>
        <v>0</v>
      </c>
      <c r="U8" s="268"/>
      <c r="V8" s="268"/>
      <c r="W8" s="268"/>
      <c r="X8" s="268"/>
      <c r="Y8" s="268">
        <f t="shared" si="5"/>
        <v>0</v>
      </c>
      <c r="Z8" s="268"/>
      <c r="AA8" s="268"/>
      <c r="AB8" s="268"/>
      <c r="AC8" s="268">
        <f t="shared" si="6"/>
        <v>0</v>
      </c>
      <c r="AD8" s="268"/>
      <c r="AE8" s="268"/>
      <c r="AF8" s="268"/>
      <c r="AG8" s="268">
        <f t="shared" si="7"/>
        <v>0</v>
      </c>
      <c r="AH8" s="268"/>
      <c r="AI8" s="268"/>
      <c r="AJ8" s="268"/>
      <c r="AK8" s="268">
        <f t="shared" si="0"/>
        <v>0</v>
      </c>
      <c r="AL8" s="268"/>
      <c r="AM8" s="268"/>
      <c r="AN8" s="268"/>
      <c r="AO8" s="268"/>
      <c r="AP8" s="268">
        <f t="shared" si="15"/>
        <v>0</v>
      </c>
      <c r="AQ8" s="268"/>
      <c r="AR8" s="268"/>
      <c r="AS8" s="268"/>
      <c r="AT8" s="268">
        <f t="shared" si="8"/>
        <v>0</v>
      </c>
      <c r="AU8" s="268"/>
      <c r="AV8" s="268"/>
      <c r="AW8" s="268"/>
      <c r="AX8" s="268">
        <f t="shared" si="1"/>
        <v>0</v>
      </c>
      <c r="AY8" s="283">
        <f t="shared" si="9"/>
        <v>0</v>
      </c>
      <c r="AZ8" s="283">
        <f t="shared" si="10"/>
        <v>0</v>
      </c>
      <c r="BA8" s="283">
        <f t="shared" si="11"/>
        <v>0</v>
      </c>
      <c r="BB8" s="283">
        <f t="shared" si="12"/>
        <v>0</v>
      </c>
      <c r="BC8" s="283">
        <f t="shared" si="13"/>
        <v>0</v>
      </c>
    </row>
    <row r="9" spans="1:55" ht="21">
      <c r="A9" s="261" t="s">
        <v>425</v>
      </c>
      <c r="B9" s="268"/>
      <c r="C9" s="268"/>
      <c r="D9" s="268"/>
      <c r="E9" s="268">
        <f t="shared" si="2"/>
        <v>0</v>
      </c>
      <c r="F9" s="268"/>
      <c r="G9" s="268"/>
      <c r="H9" s="268"/>
      <c r="I9" s="268">
        <v>0</v>
      </c>
      <c r="J9" s="268">
        <f t="shared" si="14"/>
        <v>0</v>
      </c>
      <c r="K9" s="268">
        <v>240000</v>
      </c>
      <c r="L9" s="268">
        <v>0</v>
      </c>
      <c r="M9" s="268">
        <v>0</v>
      </c>
      <c r="N9" s="268">
        <v>0</v>
      </c>
      <c r="O9" s="268">
        <f t="shared" si="3"/>
        <v>240000</v>
      </c>
      <c r="P9" s="268">
        <v>60000</v>
      </c>
      <c r="Q9" s="268">
        <f>60000+60000</f>
        <v>120000</v>
      </c>
      <c r="R9" s="268">
        <v>0</v>
      </c>
      <c r="S9" s="268">
        <v>0</v>
      </c>
      <c r="T9" s="268">
        <f t="shared" si="4"/>
        <v>180000</v>
      </c>
      <c r="U9" s="268">
        <v>150000</v>
      </c>
      <c r="V9" s="268">
        <f>60000+60000+60000</f>
        <v>180000</v>
      </c>
      <c r="W9" s="268">
        <v>0</v>
      </c>
      <c r="X9" s="268">
        <v>0</v>
      </c>
      <c r="Y9" s="268">
        <f t="shared" si="5"/>
        <v>150000</v>
      </c>
      <c r="Z9" s="268">
        <v>0</v>
      </c>
      <c r="AA9" s="268">
        <f>30000+60000+60000</f>
        <v>150000</v>
      </c>
      <c r="AB9" s="268">
        <v>0</v>
      </c>
      <c r="AC9" s="268">
        <f t="shared" si="6"/>
        <v>0</v>
      </c>
      <c r="AD9" s="268">
        <v>120000</v>
      </c>
      <c r="AE9" s="268">
        <v>0</v>
      </c>
      <c r="AF9" s="268">
        <v>0</v>
      </c>
      <c r="AG9" s="268">
        <f t="shared" si="7"/>
        <v>120000</v>
      </c>
      <c r="AH9" s="268">
        <v>60000</v>
      </c>
      <c r="AI9" s="268">
        <f>60000+60000+60000</f>
        <v>180000</v>
      </c>
      <c r="AJ9" s="268"/>
      <c r="AK9" s="268">
        <f t="shared" si="0"/>
        <v>0</v>
      </c>
      <c r="AL9" s="268"/>
      <c r="AM9" s="268"/>
      <c r="AN9" s="268"/>
      <c r="AO9" s="268"/>
      <c r="AP9" s="268">
        <f t="shared" si="15"/>
        <v>0</v>
      </c>
      <c r="AQ9" s="268"/>
      <c r="AR9" s="268"/>
      <c r="AS9" s="268"/>
      <c r="AT9" s="268">
        <f t="shared" si="8"/>
        <v>0</v>
      </c>
      <c r="AU9" s="268"/>
      <c r="AV9" s="268"/>
      <c r="AW9" s="268"/>
      <c r="AX9" s="268">
        <f t="shared" si="1"/>
        <v>0</v>
      </c>
      <c r="AY9" s="283">
        <f t="shared" si="9"/>
        <v>630000</v>
      </c>
      <c r="AZ9" s="283">
        <f t="shared" si="10"/>
        <v>630000</v>
      </c>
      <c r="BA9" s="283">
        <f t="shared" si="11"/>
        <v>0</v>
      </c>
      <c r="BB9" s="283">
        <f t="shared" si="12"/>
        <v>0</v>
      </c>
      <c r="BC9" s="283">
        <f t="shared" si="13"/>
        <v>0</v>
      </c>
    </row>
    <row r="10" spans="1:55" ht="21">
      <c r="A10" s="261" t="s">
        <v>426</v>
      </c>
      <c r="B10" s="268"/>
      <c r="C10" s="268"/>
      <c r="D10" s="268"/>
      <c r="E10" s="268">
        <f t="shared" si="2"/>
        <v>0</v>
      </c>
      <c r="F10" s="268"/>
      <c r="G10" s="268"/>
      <c r="H10" s="268"/>
      <c r="I10" s="268">
        <v>0</v>
      </c>
      <c r="J10" s="268">
        <f t="shared" si="14"/>
        <v>0</v>
      </c>
      <c r="K10" s="268">
        <v>144000</v>
      </c>
      <c r="L10" s="268">
        <v>0</v>
      </c>
      <c r="M10" s="268">
        <v>0</v>
      </c>
      <c r="N10" s="268">
        <v>0</v>
      </c>
      <c r="O10" s="268">
        <f>+J10+K10+M10-L10-N10</f>
        <v>144000</v>
      </c>
      <c r="P10" s="268">
        <v>36000</v>
      </c>
      <c r="Q10" s="268">
        <f>36000+36000</f>
        <v>72000</v>
      </c>
      <c r="R10" s="268">
        <v>0</v>
      </c>
      <c r="S10" s="268">
        <v>0</v>
      </c>
      <c r="T10" s="268">
        <f t="shared" si="4"/>
        <v>108000</v>
      </c>
      <c r="U10" s="268">
        <v>36000</v>
      </c>
      <c r="V10" s="268">
        <f>36000+36000+36000</f>
        <v>108000</v>
      </c>
      <c r="W10" s="268">
        <v>0</v>
      </c>
      <c r="X10" s="268">
        <v>0</v>
      </c>
      <c r="Y10" s="268">
        <f t="shared" si="5"/>
        <v>36000</v>
      </c>
      <c r="Z10" s="268">
        <v>0</v>
      </c>
      <c r="AA10" s="268">
        <v>36000</v>
      </c>
      <c r="AB10" s="268">
        <v>0</v>
      </c>
      <c r="AC10" s="268">
        <f t="shared" si="6"/>
        <v>0</v>
      </c>
      <c r="AD10" s="268">
        <v>72000</v>
      </c>
      <c r="AE10" s="268">
        <v>0</v>
      </c>
      <c r="AF10" s="268">
        <v>0</v>
      </c>
      <c r="AG10" s="268">
        <f t="shared" si="7"/>
        <v>72000</v>
      </c>
      <c r="AH10" s="268">
        <v>36000</v>
      </c>
      <c r="AI10" s="268">
        <f>36000+36000+36000</f>
        <v>108000</v>
      </c>
      <c r="AJ10" s="268"/>
      <c r="AK10" s="268">
        <f t="shared" si="0"/>
        <v>0</v>
      </c>
      <c r="AL10" s="268"/>
      <c r="AM10" s="268"/>
      <c r="AN10" s="268"/>
      <c r="AO10" s="268"/>
      <c r="AP10" s="268">
        <f t="shared" si="15"/>
        <v>0</v>
      </c>
      <c r="AQ10" s="268"/>
      <c r="AR10" s="268"/>
      <c r="AS10" s="268"/>
      <c r="AT10" s="268">
        <f t="shared" si="8"/>
        <v>0</v>
      </c>
      <c r="AU10" s="268"/>
      <c r="AV10" s="268"/>
      <c r="AW10" s="268"/>
      <c r="AX10" s="268">
        <f t="shared" si="1"/>
        <v>0</v>
      </c>
      <c r="AY10" s="283">
        <f t="shared" si="9"/>
        <v>324000</v>
      </c>
      <c r="AZ10" s="283">
        <f t="shared" si="10"/>
        <v>324000</v>
      </c>
      <c r="BA10" s="283">
        <f t="shared" si="11"/>
        <v>0</v>
      </c>
      <c r="BB10" s="283">
        <f t="shared" si="12"/>
        <v>0</v>
      </c>
      <c r="BC10" s="283">
        <f t="shared" si="13"/>
        <v>0</v>
      </c>
    </row>
    <row r="11" spans="1:55" ht="21.75" customHeight="1">
      <c r="A11" s="273" t="s">
        <v>415</v>
      </c>
      <c r="B11" s="268"/>
      <c r="C11" s="268"/>
      <c r="D11" s="268"/>
      <c r="E11" s="268">
        <f t="shared" si="2"/>
        <v>0</v>
      </c>
      <c r="F11" s="268"/>
      <c r="G11" s="268"/>
      <c r="H11" s="268"/>
      <c r="I11" s="268">
        <v>0</v>
      </c>
      <c r="J11" s="268">
        <f t="shared" si="14"/>
        <v>0</v>
      </c>
      <c r="K11" s="268"/>
      <c r="L11" s="268"/>
      <c r="M11" s="268"/>
      <c r="N11" s="268"/>
      <c r="O11" s="268">
        <f t="shared" si="3"/>
        <v>0</v>
      </c>
      <c r="P11" s="268"/>
      <c r="Q11" s="268"/>
      <c r="R11" s="268"/>
      <c r="S11" s="268"/>
      <c r="T11" s="268">
        <f t="shared" si="4"/>
        <v>0</v>
      </c>
      <c r="U11" s="268"/>
      <c r="V11" s="268"/>
      <c r="W11" s="268"/>
      <c r="X11" s="268"/>
      <c r="Y11" s="268">
        <f t="shared" si="5"/>
        <v>0</v>
      </c>
      <c r="Z11" s="268"/>
      <c r="AA11" s="268"/>
      <c r="AB11" s="268"/>
      <c r="AC11" s="268">
        <f t="shared" si="6"/>
        <v>0</v>
      </c>
      <c r="AD11" s="268"/>
      <c r="AE11" s="268"/>
      <c r="AF11" s="268"/>
      <c r="AG11" s="268">
        <f t="shared" si="7"/>
        <v>0</v>
      </c>
      <c r="AH11" s="268"/>
      <c r="AI11" s="268"/>
      <c r="AJ11" s="268"/>
      <c r="AK11" s="268">
        <f aca="true" t="shared" si="16" ref="AK11:AK17">+AG11+AH11-AI11-AJ11</f>
        <v>0</v>
      </c>
      <c r="AL11" s="268"/>
      <c r="AM11" s="268"/>
      <c r="AN11" s="268"/>
      <c r="AO11" s="268"/>
      <c r="AP11" s="268">
        <f t="shared" si="15"/>
        <v>0</v>
      </c>
      <c r="AQ11" s="268"/>
      <c r="AR11" s="268"/>
      <c r="AS11" s="268"/>
      <c r="AT11" s="268">
        <f t="shared" si="8"/>
        <v>0</v>
      </c>
      <c r="AU11" s="268"/>
      <c r="AV11" s="268"/>
      <c r="AW11" s="268"/>
      <c r="AX11" s="268"/>
      <c r="AY11" s="283">
        <f t="shared" si="9"/>
        <v>0</v>
      </c>
      <c r="AZ11" s="283">
        <f t="shared" si="10"/>
        <v>0</v>
      </c>
      <c r="BA11" s="283">
        <f t="shared" si="11"/>
        <v>0</v>
      </c>
      <c r="BB11" s="283">
        <f t="shared" si="12"/>
        <v>0</v>
      </c>
      <c r="BC11" s="283">
        <f t="shared" si="13"/>
        <v>0</v>
      </c>
    </row>
    <row r="12" spans="1:55" ht="21">
      <c r="A12" s="261" t="s">
        <v>427</v>
      </c>
      <c r="B12" s="268"/>
      <c r="C12" s="268"/>
      <c r="D12" s="268"/>
      <c r="E12" s="268">
        <f t="shared" si="2"/>
        <v>0</v>
      </c>
      <c r="F12" s="268"/>
      <c r="G12" s="268"/>
      <c r="H12" s="268"/>
      <c r="I12" s="268">
        <v>0</v>
      </c>
      <c r="J12" s="268">
        <f t="shared" si="14"/>
        <v>0</v>
      </c>
      <c r="K12" s="268"/>
      <c r="L12" s="268"/>
      <c r="M12" s="268"/>
      <c r="N12" s="268"/>
      <c r="O12" s="268">
        <f t="shared" si="3"/>
        <v>0</v>
      </c>
      <c r="P12" s="268"/>
      <c r="Q12" s="268"/>
      <c r="R12" s="268"/>
      <c r="S12" s="268"/>
      <c r="T12" s="268">
        <f t="shared" si="4"/>
        <v>0</v>
      </c>
      <c r="U12" s="268"/>
      <c r="V12" s="268"/>
      <c r="W12" s="268"/>
      <c r="X12" s="268"/>
      <c r="Y12" s="268">
        <f t="shared" si="5"/>
        <v>0</v>
      </c>
      <c r="Z12" s="268"/>
      <c r="AA12" s="268"/>
      <c r="AB12" s="268"/>
      <c r="AC12" s="268">
        <f t="shared" si="6"/>
        <v>0</v>
      </c>
      <c r="AD12" s="268"/>
      <c r="AE12" s="268"/>
      <c r="AF12" s="268"/>
      <c r="AG12" s="268">
        <f t="shared" si="7"/>
        <v>0</v>
      </c>
      <c r="AH12" s="268"/>
      <c r="AI12" s="268"/>
      <c r="AJ12" s="268"/>
      <c r="AK12" s="268">
        <f t="shared" si="16"/>
        <v>0</v>
      </c>
      <c r="AL12" s="268"/>
      <c r="AM12" s="268"/>
      <c r="AN12" s="268"/>
      <c r="AO12" s="268"/>
      <c r="AP12" s="268">
        <f t="shared" si="15"/>
        <v>0</v>
      </c>
      <c r="AQ12" s="268"/>
      <c r="AR12" s="268"/>
      <c r="AS12" s="268"/>
      <c r="AT12" s="268">
        <f t="shared" si="8"/>
        <v>0</v>
      </c>
      <c r="AU12" s="268"/>
      <c r="AV12" s="268"/>
      <c r="AW12" s="268"/>
      <c r="AX12" s="268"/>
      <c r="AY12" s="283">
        <f t="shared" si="9"/>
        <v>0</v>
      </c>
      <c r="AZ12" s="283">
        <f t="shared" si="10"/>
        <v>0</v>
      </c>
      <c r="BA12" s="283">
        <f t="shared" si="11"/>
        <v>0</v>
      </c>
      <c r="BB12" s="283">
        <f t="shared" si="12"/>
        <v>0</v>
      </c>
      <c r="BC12" s="283">
        <f t="shared" si="13"/>
        <v>0</v>
      </c>
    </row>
    <row r="13" spans="1:55" ht="21">
      <c r="A13" s="261" t="s">
        <v>428</v>
      </c>
      <c r="B13" s="268"/>
      <c r="C13" s="268"/>
      <c r="D13" s="268"/>
      <c r="E13" s="268">
        <f t="shared" si="2"/>
        <v>0</v>
      </c>
      <c r="F13" s="268"/>
      <c r="G13" s="268"/>
      <c r="H13" s="268"/>
      <c r="I13" s="268">
        <v>0</v>
      </c>
      <c r="J13" s="268">
        <f t="shared" si="14"/>
        <v>0</v>
      </c>
      <c r="K13" s="268"/>
      <c r="L13" s="268"/>
      <c r="M13" s="268"/>
      <c r="N13" s="268"/>
      <c r="O13" s="268">
        <f t="shared" si="3"/>
        <v>0</v>
      </c>
      <c r="P13" s="268"/>
      <c r="Q13" s="268"/>
      <c r="R13" s="268"/>
      <c r="S13" s="268"/>
      <c r="T13" s="268">
        <f t="shared" si="4"/>
        <v>0</v>
      </c>
      <c r="U13" s="268"/>
      <c r="V13" s="268"/>
      <c r="W13" s="268"/>
      <c r="X13" s="268"/>
      <c r="Y13" s="268">
        <f t="shared" si="5"/>
        <v>0</v>
      </c>
      <c r="Z13" s="268"/>
      <c r="AA13" s="268"/>
      <c r="AB13" s="268"/>
      <c r="AC13" s="268">
        <f t="shared" si="6"/>
        <v>0</v>
      </c>
      <c r="AD13" s="268"/>
      <c r="AE13" s="268"/>
      <c r="AF13" s="268"/>
      <c r="AG13" s="268">
        <f t="shared" si="7"/>
        <v>0</v>
      </c>
      <c r="AH13" s="268"/>
      <c r="AI13" s="268"/>
      <c r="AJ13" s="268"/>
      <c r="AK13" s="268">
        <f t="shared" si="16"/>
        <v>0</v>
      </c>
      <c r="AL13" s="268"/>
      <c r="AM13" s="268"/>
      <c r="AN13" s="268"/>
      <c r="AO13" s="268"/>
      <c r="AP13" s="268">
        <f t="shared" si="15"/>
        <v>0</v>
      </c>
      <c r="AQ13" s="268"/>
      <c r="AR13" s="268"/>
      <c r="AS13" s="268"/>
      <c r="AT13" s="268">
        <f t="shared" si="8"/>
        <v>0</v>
      </c>
      <c r="AU13" s="268"/>
      <c r="AV13" s="268"/>
      <c r="AW13" s="268"/>
      <c r="AX13" s="268"/>
      <c r="AY13" s="283">
        <f t="shared" si="9"/>
        <v>0</v>
      </c>
      <c r="AZ13" s="283">
        <f t="shared" si="10"/>
        <v>0</v>
      </c>
      <c r="BA13" s="283">
        <f t="shared" si="11"/>
        <v>0</v>
      </c>
      <c r="BB13" s="283">
        <f t="shared" si="12"/>
        <v>0</v>
      </c>
      <c r="BC13" s="283">
        <f t="shared" si="13"/>
        <v>0</v>
      </c>
    </row>
    <row r="14" spans="1:55" ht="21">
      <c r="A14" s="273" t="s">
        <v>391</v>
      </c>
      <c r="B14" s="268"/>
      <c r="C14" s="268"/>
      <c r="D14" s="268"/>
      <c r="E14" s="268">
        <f t="shared" si="2"/>
        <v>0</v>
      </c>
      <c r="F14" s="268"/>
      <c r="G14" s="268"/>
      <c r="H14" s="268"/>
      <c r="I14" s="268">
        <v>0</v>
      </c>
      <c r="J14" s="268">
        <f t="shared" si="14"/>
        <v>0</v>
      </c>
      <c r="K14" s="268"/>
      <c r="L14" s="268"/>
      <c r="M14" s="268"/>
      <c r="N14" s="268"/>
      <c r="O14" s="268">
        <f t="shared" si="3"/>
        <v>0</v>
      </c>
      <c r="P14" s="268"/>
      <c r="Q14" s="268"/>
      <c r="R14" s="268"/>
      <c r="S14" s="268"/>
      <c r="T14" s="268">
        <f t="shared" si="4"/>
        <v>0</v>
      </c>
      <c r="U14" s="268"/>
      <c r="V14" s="268"/>
      <c r="W14" s="268"/>
      <c r="X14" s="268"/>
      <c r="Y14" s="268">
        <f t="shared" si="5"/>
        <v>0</v>
      </c>
      <c r="Z14" s="268"/>
      <c r="AA14" s="268"/>
      <c r="AB14" s="268"/>
      <c r="AC14" s="268">
        <f t="shared" si="6"/>
        <v>0</v>
      </c>
      <c r="AD14" s="268"/>
      <c r="AE14" s="268"/>
      <c r="AF14" s="268"/>
      <c r="AG14" s="268">
        <f t="shared" si="7"/>
        <v>0</v>
      </c>
      <c r="AH14" s="268"/>
      <c r="AI14" s="268"/>
      <c r="AJ14" s="268"/>
      <c r="AK14" s="268">
        <f t="shared" si="16"/>
        <v>0</v>
      </c>
      <c r="AL14" s="268"/>
      <c r="AM14" s="268"/>
      <c r="AN14" s="268"/>
      <c r="AO14" s="268"/>
      <c r="AP14" s="268">
        <f t="shared" si="15"/>
        <v>0</v>
      </c>
      <c r="AQ14" s="268"/>
      <c r="AR14" s="268"/>
      <c r="AS14" s="268"/>
      <c r="AT14" s="268">
        <f t="shared" si="8"/>
        <v>0</v>
      </c>
      <c r="AU14" s="268"/>
      <c r="AV14" s="268"/>
      <c r="AW14" s="268"/>
      <c r="AX14" s="268"/>
      <c r="AY14" s="283">
        <f t="shared" si="9"/>
        <v>0</v>
      </c>
      <c r="AZ14" s="283">
        <f t="shared" si="10"/>
        <v>0</v>
      </c>
      <c r="BA14" s="283">
        <f t="shared" si="11"/>
        <v>0</v>
      </c>
      <c r="BB14" s="283">
        <f t="shared" si="12"/>
        <v>0</v>
      </c>
      <c r="BC14" s="283">
        <f t="shared" si="13"/>
        <v>0</v>
      </c>
    </row>
    <row r="15" spans="1:55" ht="21">
      <c r="A15" s="261" t="s">
        <v>122</v>
      </c>
      <c r="B15" s="268"/>
      <c r="C15" s="268"/>
      <c r="D15" s="268"/>
      <c r="E15" s="268">
        <f t="shared" si="2"/>
        <v>0</v>
      </c>
      <c r="F15" s="268"/>
      <c r="G15" s="268"/>
      <c r="H15" s="268"/>
      <c r="I15" s="268">
        <v>0</v>
      </c>
      <c r="J15" s="268">
        <f t="shared" si="14"/>
        <v>0</v>
      </c>
      <c r="K15" s="268"/>
      <c r="L15" s="268"/>
      <c r="M15" s="268"/>
      <c r="N15" s="268"/>
      <c r="O15" s="268">
        <f t="shared" si="3"/>
        <v>0</v>
      </c>
      <c r="P15" s="268"/>
      <c r="Q15" s="268"/>
      <c r="R15" s="268"/>
      <c r="S15" s="268"/>
      <c r="T15" s="268">
        <f t="shared" si="4"/>
        <v>0</v>
      </c>
      <c r="U15" s="268"/>
      <c r="V15" s="268"/>
      <c r="W15" s="268"/>
      <c r="X15" s="268"/>
      <c r="Y15" s="268">
        <f t="shared" si="5"/>
        <v>0</v>
      </c>
      <c r="Z15" s="268"/>
      <c r="AA15" s="268"/>
      <c r="AB15" s="268"/>
      <c r="AC15" s="268">
        <f t="shared" si="6"/>
        <v>0</v>
      </c>
      <c r="AD15" s="268"/>
      <c r="AE15" s="268"/>
      <c r="AF15" s="268"/>
      <c r="AG15" s="268">
        <f t="shared" si="7"/>
        <v>0</v>
      </c>
      <c r="AH15" s="268"/>
      <c r="AI15" s="268"/>
      <c r="AJ15" s="268"/>
      <c r="AK15" s="268">
        <f t="shared" si="16"/>
        <v>0</v>
      </c>
      <c r="AL15" s="268"/>
      <c r="AM15" s="268"/>
      <c r="AN15" s="268"/>
      <c r="AO15" s="268"/>
      <c r="AP15" s="268">
        <f t="shared" si="15"/>
        <v>0</v>
      </c>
      <c r="AQ15" s="268"/>
      <c r="AR15" s="268"/>
      <c r="AS15" s="268"/>
      <c r="AT15" s="268">
        <f t="shared" si="8"/>
        <v>0</v>
      </c>
      <c r="AU15" s="268"/>
      <c r="AV15" s="268"/>
      <c r="AW15" s="268"/>
      <c r="AX15" s="268"/>
      <c r="AY15" s="283">
        <f t="shared" si="9"/>
        <v>0</v>
      </c>
      <c r="AZ15" s="283">
        <f t="shared" si="10"/>
        <v>0</v>
      </c>
      <c r="BA15" s="283">
        <f t="shared" si="11"/>
        <v>0</v>
      </c>
      <c r="BB15" s="283">
        <f t="shared" si="12"/>
        <v>0</v>
      </c>
      <c r="BC15" s="283">
        <f t="shared" si="13"/>
        <v>0</v>
      </c>
    </row>
    <row r="16" spans="1:55" s="278" customFormat="1" ht="22.5" customHeight="1">
      <c r="A16" s="279" t="s">
        <v>410</v>
      </c>
      <c r="B16" s="277"/>
      <c r="C16" s="277"/>
      <c r="D16" s="277"/>
      <c r="E16" s="268">
        <f t="shared" si="2"/>
        <v>0</v>
      </c>
      <c r="F16" s="277"/>
      <c r="G16" s="277"/>
      <c r="H16" s="277"/>
      <c r="I16" s="268">
        <v>0</v>
      </c>
      <c r="J16" s="268">
        <f t="shared" si="14"/>
        <v>0</v>
      </c>
      <c r="K16" s="277"/>
      <c r="L16" s="277"/>
      <c r="M16" s="277"/>
      <c r="N16" s="277"/>
      <c r="O16" s="268">
        <f t="shared" si="3"/>
        <v>0</v>
      </c>
      <c r="P16" s="277"/>
      <c r="Q16" s="277"/>
      <c r="R16" s="277"/>
      <c r="S16" s="277"/>
      <c r="T16" s="268">
        <f t="shared" si="4"/>
        <v>0</v>
      </c>
      <c r="U16" s="277"/>
      <c r="V16" s="277"/>
      <c r="W16" s="277"/>
      <c r="X16" s="277"/>
      <c r="Y16" s="268">
        <f t="shared" si="5"/>
        <v>0</v>
      </c>
      <c r="Z16" s="277"/>
      <c r="AA16" s="277"/>
      <c r="AB16" s="277"/>
      <c r="AC16" s="268">
        <f t="shared" si="6"/>
        <v>0</v>
      </c>
      <c r="AD16" s="277">
        <v>10000</v>
      </c>
      <c r="AE16" s="277">
        <v>0</v>
      </c>
      <c r="AF16" s="277">
        <v>0</v>
      </c>
      <c r="AG16" s="268">
        <f t="shared" si="7"/>
        <v>10000</v>
      </c>
      <c r="AH16" s="277"/>
      <c r="AI16" s="277">
        <f>7000+3000</f>
        <v>10000</v>
      </c>
      <c r="AJ16" s="277"/>
      <c r="AK16" s="268">
        <f t="shared" si="16"/>
        <v>0</v>
      </c>
      <c r="AL16" s="277"/>
      <c r="AM16" s="277"/>
      <c r="AN16" s="277"/>
      <c r="AO16" s="277"/>
      <c r="AP16" s="268">
        <f t="shared" si="15"/>
        <v>0</v>
      </c>
      <c r="AQ16" s="277"/>
      <c r="AR16" s="277"/>
      <c r="AS16" s="277"/>
      <c r="AT16" s="268">
        <f t="shared" si="8"/>
        <v>0</v>
      </c>
      <c r="AU16" s="277"/>
      <c r="AV16" s="277"/>
      <c r="AW16" s="277"/>
      <c r="AX16" s="277">
        <f>+AU16-AV16-AW16</f>
        <v>0</v>
      </c>
      <c r="AY16" s="283">
        <f t="shared" si="9"/>
        <v>10000</v>
      </c>
      <c r="AZ16" s="283">
        <f t="shared" si="10"/>
        <v>10000</v>
      </c>
      <c r="BA16" s="283">
        <f t="shared" si="11"/>
        <v>0</v>
      </c>
      <c r="BB16" s="283">
        <f t="shared" si="12"/>
        <v>0</v>
      </c>
      <c r="BC16" s="283">
        <f t="shared" si="13"/>
        <v>0</v>
      </c>
    </row>
    <row r="17" spans="1:55" ht="21">
      <c r="A17" s="273" t="s">
        <v>416</v>
      </c>
      <c r="B17" s="268"/>
      <c r="C17" s="268"/>
      <c r="D17" s="268"/>
      <c r="E17" s="268"/>
      <c r="F17" s="268"/>
      <c r="G17" s="268"/>
      <c r="H17" s="268"/>
      <c r="I17" s="268">
        <v>0</v>
      </c>
      <c r="J17" s="268">
        <f t="shared" si="14"/>
        <v>0</v>
      </c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>
        <f t="shared" si="6"/>
        <v>0</v>
      </c>
      <c r="AD17" s="268"/>
      <c r="AE17" s="268"/>
      <c r="AF17" s="268"/>
      <c r="AG17" s="268"/>
      <c r="AH17" s="268"/>
      <c r="AI17" s="268"/>
      <c r="AJ17" s="268"/>
      <c r="AK17" s="268">
        <f t="shared" si="16"/>
        <v>0</v>
      </c>
      <c r="AL17" s="268"/>
      <c r="AM17" s="268"/>
      <c r="AN17" s="268"/>
      <c r="AO17" s="268"/>
      <c r="AP17" s="268">
        <f t="shared" si="15"/>
        <v>0</v>
      </c>
      <c r="AQ17" s="268"/>
      <c r="AR17" s="268"/>
      <c r="AS17" s="268"/>
      <c r="AT17" s="268"/>
      <c r="AU17" s="268"/>
      <c r="AV17" s="268"/>
      <c r="AW17" s="268"/>
      <c r="AX17" s="268"/>
      <c r="AY17" s="283"/>
      <c r="AZ17" s="283"/>
      <c r="BA17" s="283"/>
      <c r="BB17" s="283"/>
      <c r="BC17" s="283"/>
    </row>
    <row r="18" spans="1:55" ht="21">
      <c r="A18" s="261"/>
      <c r="B18" s="268"/>
      <c r="C18" s="268"/>
      <c r="D18" s="268"/>
      <c r="E18" s="268"/>
      <c r="F18" s="268"/>
      <c r="G18" s="268"/>
      <c r="H18" s="268"/>
      <c r="I18" s="268">
        <v>0</v>
      </c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83"/>
      <c r="AZ18" s="283"/>
      <c r="BA18" s="283"/>
      <c r="BB18" s="283"/>
      <c r="BC18" s="283"/>
    </row>
    <row r="19" spans="1:55" s="253" customFormat="1" ht="21">
      <c r="A19" s="262" t="s">
        <v>17</v>
      </c>
      <c r="B19" s="270">
        <f aca="true" t="shared" si="17" ref="B19:G19">SUM(B4:B18)</f>
        <v>4781400</v>
      </c>
      <c r="C19" s="270">
        <f t="shared" si="17"/>
        <v>0</v>
      </c>
      <c r="D19" s="270">
        <f t="shared" si="17"/>
        <v>0</v>
      </c>
      <c r="E19" s="270">
        <f t="shared" si="17"/>
        <v>4781400</v>
      </c>
      <c r="F19" s="270">
        <f t="shared" si="17"/>
        <v>522000</v>
      </c>
      <c r="G19" s="270">
        <f t="shared" si="17"/>
        <v>2644700</v>
      </c>
      <c r="H19" s="270">
        <f>SUM(H4:H18)</f>
        <v>700</v>
      </c>
      <c r="I19" s="270">
        <f>SUM(I4:I18)</f>
        <v>0</v>
      </c>
      <c r="J19" s="270">
        <f>SUM(J4:J18)</f>
        <v>2659400</v>
      </c>
      <c r="K19" s="270">
        <f>SUM(K4:K18)</f>
        <v>390120</v>
      </c>
      <c r="L19" s="270">
        <f>SUM(L4:L18)</f>
        <v>877400</v>
      </c>
      <c r="M19" s="270">
        <f>SUM(M4:M18)</f>
        <v>0</v>
      </c>
      <c r="N19" s="270">
        <f>SUM(N4:N18)</f>
        <v>0</v>
      </c>
      <c r="O19" s="270">
        <f>SUM(O4:O18)</f>
        <v>2172120</v>
      </c>
      <c r="P19" s="270">
        <f aca="true" t="shared" si="18" ref="P19:AL19">SUM(P4:P18)</f>
        <v>5374200</v>
      </c>
      <c r="Q19" s="270">
        <f t="shared" si="18"/>
        <v>1070380</v>
      </c>
      <c r="R19" s="270">
        <f t="shared" si="18"/>
        <v>0</v>
      </c>
      <c r="S19" s="270">
        <f t="shared" si="18"/>
        <v>0</v>
      </c>
      <c r="T19" s="270">
        <f t="shared" si="18"/>
        <v>6475940</v>
      </c>
      <c r="U19" s="270">
        <f t="shared" si="18"/>
        <v>187800</v>
      </c>
      <c r="V19" s="270">
        <f t="shared" si="18"/>
        <v>1160340</v>
      </c>
      <c r="W19" s="270">
        <f t="shared" si="18"/>
        <v>0</v>
      </c>
      <c r="X19" s="270">
        <f t="shared" si="18"/>
        <v>101000</v>
      </c>
      <c r="Y19" s="270">
        <f t="shared" si="18"/>
        <v>5402400</v>
      </c>
      <c r="Z19" s="270">
        <f t="shared" si="18"/>
        <v>0</v>
      </c>
      <c r="AA19" s="270">
        <f t="shared" si="18"/>
        <v>1054100</v>
      </c>
      <c r="AB19" s="270">
        <f t="shared" si="18"/>
        <v>16800</v>
      </c>
      <c r="AC19" s="270">
        <f t="shared" si="18"/>
        <v>4331500</v>
      </c>
      <c r="AD19" s="270">
        <f t="shared" si="18"/>
        <v>205600</v>
      </c>
      <c r="AE19" s="270">
        <f t="shared" si="18"/>
        <v>863600</v>
      </c>
      <c r="AF19" s="270">
        <f t="shared" si="18"/>
        <v>13500</v>
      </c>
      <c r="AG19" s="270">
        <f t="shared" si="18"/>
        <v>3660000</v>
      </c>
      <c r="AH19" s="270">
        <f t="shared" si="18"/>
        <v>97800</v>
      </c>
      <c r="AI19" s="270">
        <f t="shared" si="18"/>
        <v>1162200</v>
      </c>
      <c r="AJ19" s="270">
        <f t="shared" si="18"/>
        <v>19200</v>
      </c>
      <c r="AK19" s="270">
        <f t="shared" si="18"/>
        <v>2576400</v>
      </c>
      <c r="AL19" s="270">
        <f t="shared" si="18"/>
        <v>0</v>
      </c>
      <c r="AM19" s="270">
        <f>SUM(AM4:AM18)</f>
        <v>855200</v>
      </c>
      <c r="AN19" s="270">
        <f>SUM(AN4:AN18)</f>
        <v>5100</v>
      </c>
      <c r="AO19" s="270">
        <f>SUM(AO4:AO18)</f>
        <v>14400</v>
      </c>
      <c r="AP19" s="270">
        <f>SUM(AP4:AP18)</f>
        <v>1711900</v>
      </c>
      <c r="AQ19" s="270">
        <f>SUM(AQ4:AQ18)</f>
        <v>0</v>
      </c>
      <c r="AR19" s="270">
        <f>SUM(AR4:AR18)</f>
        <v>852200</v>
      </c>
      <c r="AS19" s="270">
        <f>SUM(AS4:AS18)</f>
        <v>7500</v>
      </c>
      <c r="AT19" s="270">
        <f>SUM(AT4:AT18)</f>
        <v>852200</v>
      </c>
      <c r="AU19" s="270">
        <f>SUM(AU4:AU18)</f>
        <v>0</v>
      </c>
      <c r="AV19" s="270">
        <f>SUM(AV4:AV18)</f>
        <v>0</v>
      </c>
      <c r="AW19" s="270">
        <f>SUM(AW4:AW18)</f>
        <v>0</v>
      </c>
      <c r="AX19" s="270">
        <f>SUM(AX4:AX18)</f>
        <v>852200</v>
      </c>
      <c r="AY19" s="284">
        <f>SUM(AY4:AY18)</f>
        <v>11558920</v>
      </c>
      <c r="AZ19" s="284">
        <f>SUM(AZ4:AZ18)</f>
        <v>10540120</v>
      </c>
      <c r="BA19" s="284">
        <f>SUM(BA4:BA18)</f>
        <v>5800</v>
      </c>
      <c r="BB19" s="284">
        <f>SUM(BB4:BB18)</f>
        <v>172400</v>
      </c>
      <c r="BC19" s="284">
        <f>SUM(BC4:BC18)</f>
        <v>852200</v>
      </c>
    </row>
  </sheetData>
  <sheetProtection/>
  <mergeCells count="13">
    <mergeCell ref="A1:A2"/>
    <mergeCell ref="AD1:AG1"/>
    <mergeCell ref="Z1:AC1"/>
    <mergeCell ref="B1:E1"/>
    <mergeCell ref="F1:J1"/>
    <mergeCell ref="K1:O1"/>
    <mergeCell ref="P1:T1"/>
    <mergeCell ref="U1:Y1"/>
    <mergeCell ref="AH1:AK1"/>
    <mergeCell ref="AL1:AP1"/>
    <mergeCell ref="AQ1:AT1"/>
    <mergeCell ref="AU1:AX1"/>
    <mergeCell ref="AY1:BC1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landscape" scale="89" r:id="rId1"/>
  <headerFooter scaleWithDoc="0" alignWithMargins="0">
    <oddHeader>&amp;Cเทศบาลตำบลเขาพระ อำเภอพิปูน จังหวัดนครศรีธรรมราชทะเบียนคุมเงินอุดหนุนเฉพาะกิจตั้งแต่วันที่ 1 ตุลาคม 2556 ถึงวันที่ 30 กันยายน 2557</oddHeader>
  </headerFooter>
  <colBreaks count="8" manualBreakCount="8">
    <brk id="5" max="18" man="1"/>
    <brk id="10" max="65535" man="1"/>
    <brk id="15" max="18" man="1"/>
    <brk id="20" max="65535" man="1"/>
    <brk id="25" max="18" man="1"/>
    <brk id="37" max="21" man="1"/>
    <brk id="42" max="65535" man="1"/>
    <brk id="5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51"/>
  <sheetViews>
    <sheetView tabSelected="1" view="pageBreakPreview" zoomScaleSheetLayoutView="100" zoomScalePageLayoutView="0" workbookViewId="0" topLeftCell="A1">
      <pane ySplit="5" topLeftCell="A27" activePane="bottomLeft" state="frozen"/>
      <selection pane="topLeft" activeCell="A1" sqref="A1"/>
      <selection pane="bottomLeft" activeCell="A47" sqref="A47"/>
    </sheetView>
  </sheetViews>
  <sheetFormatPr defaultColWidth="9.140625" defaultRowHeight="12.75"/>
  <cols>
    <col min="1" max="1" width="48.57421875" style="252" customWidth="1"/>
    <col min="2" max="2" width="15.8515625" style="252" customWidth="1"/>
    <col min="3" max="3" width="17.8515625" style="252" customWidth="1"/>
    <col min="4" max="4" width="18.140625" style="252" customWidth="1"/>
    <col min="5" max="5" width="9.140625" style="252" customWidth="1"/>
    <col min="6" max="6" width="10.421875" style="252" bestFit="1" customWidth="1"/>
    <col min="7" max="7" width="12.00390625" style="252" customWidth="1"/>
    <col min="8" max="16384" width="9.140625" style="252" customWidth="1"/>
  </cols>
  <sheetData>
    <row r="1" spans="1:9" s="253" customFormat="1" ht="21">
      <c r="A1" s="473" t="s">
        <v>395</v>
      </c>
      <c r="B1" s="473"/>
      <c r="C1" s="473"/>
      <c r="D1" s="473"/>
      <c r="E1" s="254"/>
      <c r="F1" s="254"/>
      <c r="G1" s="254"/>
      <c r="H1" s="254"/>
      <c r="I1" s="254"/>
    </row>
    <row r="2" spans="1:9" s="253" customFormat="1" ht="21">
      <c r="A2" s="473" t="s">
        <v>364</v>
      </c>
      <c r="B2" s="473"/>
      <c r="C2" s="473"/>
      <c r="D2" s="473"/>
      <c r="E2" s="254"/>
      <c r="F2" s="254"/>
      <c r="G2" s="254"/>
      <c r="H2" s="254"/>
      <c r="I2" s="254"/>
    </row>
    <row r="3" spans="1:9" s="253" customFormat="1" ht="21">
      <c r="A3" s="473" t="s">
        <v>409</v>
      </c>
      <c r="B3" s="473"/>
      <c r="C3" s="473"/>
      <c r="D3" s="473"/>
      <c r="E3" s="254"/>
      <c r="F3" s="254"/>
      <c r="G3" s="254"/>
      <c r="H3" s="254"/>
      <c r="I3" s="254"/>
    </row>
    <row r="4" spans="1:4" s="253" customFormat="1" ht="21">
      <c r="A4" s="532" t="s">
        <v>396</v>
      </c>
      <c r="B4" s="531" t="s">
        <v>397</v>
      </c>
      <c r="C4" s="531"/>
      <c r="D4" s="531"/>
    </row>
    <row r="5" spans="1:4" s="253" customFormat="1" ht="21">
      <c r="A5" s="533"/>
      <c r="B5" s="255">
        <v>2554</v>
      </c>
      <c r="C5" s="255">
        <v>2555</v>
      </c>
      <c r="D5" s="255">
        <v>2556</v>
      </c>
    </row>
    <row r="6" spans="1:4" ht="21">
      <c r="A6" s="260" t="s">
        <v>398</v>
      </c>
      <c r="B6" s="257"/>
      <c r="C6" s="257"/>
      <c r="D6" s="257"/>
    </row>
    <row r="7" spans="1:4" ht="21">
      <c r="A7" s="261" t="s">
        <v>19</v>
      </c>
      <c r="B7" s="268">
        <v>136587.26</v>
      </c>
      <c r="C7" s="268">
        <v>181788.67</v>
      </c>
      <c r="D7" s="268">
        <v>194039.26</v>
      </c>
    </row>
    <row r="8" spans="1:4" ht="21">
      <c r="A8" s="261" t="s">
        <v>319</v>
      </c>
      <c r="B8" s="268">
        <v>10417.74</v>
      </c>
      <c r="C8" s="268">
        <v>96161.4</v>
      </c>
      <c r="D8" s="268">
        <v>36884.4</v>
      </c>
    </row>
    <row r="9" spans="1:4" ht="21">
      <c r="A9" s="261" t="s">
        <v>21</v>
      </c>
      <c r="B9" s="268">
        <v>102995.08</v>
      </c>
      <c r="C9" s="268">
        <v>169077.32</v>
      </c>
      <c r="D9" s="268">
        <v>418963.65</v>
      </c>
    </row>
    <row r="10" spans="1:4" ht="21">
      <c r="A10" s="261" t="s">
        <v>23</v>
      </c>
      <c r="B10" s="268">
        <v>281312.5</v>
      </c>
      <c r="C10" s="268">
        <v>273125</v>
      </c>
      <c r="D10" s="268">
        <v>289432.5</v>
      </c>
    </row>
    <row r="11" spans="1:4" ht="21">
      <c r="A11" s="261" t="s">
        <v>20</v>
      </c>
      <c r="B11" s="268">
        <v>41460</v>
      </c>
      <c r="C11" s="268">
        <v>40700</v>
      </c>
      <c r="D11" s="268">
        <v>132689</v>
      </c>
    </row>
    <row r="12" spans="1:4" ht="21">
      <c r="A12" s="261" t="s">
        <v>121</v>
      </c>
      <c r="B12" s="268">
        <v>0</v>
      </c>
      <c r="C12" s="268">
        <v>0</v>
      </c>
      <c r="D12" s="268">
        <v>0</v>
      </c>
    </row>
    <row r="13" spans="1:4" ht="21">
      <c r="A13" s="261" t="s">
        <v>399</v>
      </c>
      <c r="B13" s="268">
        <v>12407652.11</v>
      </c>
      <c r="C13" s="268">
        <v>13148527.12</v>
      </c>
      <c r="D13" s="268">
        <v>15966940.39</v>
      </c>
    </row>
    <row r="14" spans="1:4" ht="21">
      <c r="A14" s="261" t="s">
        <v>22</v>
      </c>
      <c r="B14" s="268">
        <v>14609838</v>
      </c>
      <c r="C14" s="268">
        <v>14359388</v>
      </c>
      <c r="D14" s="268">
        <v>15565538.09</v>
      </c>
    </row>
    <row r="15" spans="1:4" s="253" customFormat="1" ht="21">
      <c r="A15" s="262" t="s">
        <v>17</v>
      </c>
      <c r="B15" s="270">
        <f>SUM(B7:B14)</f>
        <v>27590262.689999998</v>
      </c>
      <c r="C15" s="270">
        <f>SUM(C7:C14)</f>
        <v>28268767.509999998</v>
      </c>
      <c r="D15" s="270">
        <f>SUM(D7:D14)</f>
        <v>32604487.29</v>
      </c>
    </row>
    <row r="16" spans="1:4" ht="21">
      <c r="A16" s="264" t="s">
        <v>400</v>
      </c>
      <c r="B16" s="257"/>
      <c r="C16" s="257"/>
      <c r="D16" s="257"/>
    </row>
    <row r="17" spans="1:4" ht="21">
      <c r="A17" s="265" t="s">
        <v>401</v>
      </c>
      <c r="B17" s="268">
        <f>70000+7672290-13-264.4-75000-57000</f>
        <v>7610012.6</v>
      </c>
      <c r="C17" s="268">
        <f>10000+11264708.59-32672.94</f>
        <v>11242035.65</v>
      </c>
      <c r="D17" s="268">
        <f>21800+11712263.02-7704</f>
        <v>11726359.02</v>
      </c>
    </row>
    <row r="18" spans="1:4" ht="21">
      <c r="A18" s="265"/>
      <c r="B18" s="259"/>
      <c r="C18" s="259"/>
      <c r="D18" s="259"/>
    </row>
    <row r="19" spans="1:4" s="253" customFormat="1" ht="21">
      <c r="A19" s="255" t="s">
        <v>17</v>
      </c>
      <c r="B19" s="270">
        <f>+B17</f>
        <v>7610012.6</v>
      </c>
      <c r="C19" s="270">
        <f>+C17</f>
        <v>11242035.65</v>
      </c>
      <c r="D19" s="270">
        <f>+D17</f>
        <v>11726359.02</v>
      </c>
    </row>
    <row r="20" spans="1:4" s="253" customFormat="1" ht="21">
      <c r="A20" s="255" t="s">
        <v>402</v>
      </c>
      <c r="B20" s="270">
        <f>+B19+B15</f>
        <v>35200275.29</v>
      </c>
      <c r="C20" s="270">
        <f>+C19+C15</f>
        <v>39510803.16</v>
      </c>
      <c r="D20" s="270">
        <f>+D19+D15</f>
        <v>44330846.31</v>
      </c>
    </row>
    <row r="21" spans="1:4" ht="21">
      <c r="A21" s="264" t="s">
        <v>403</v>
      </c>
      <c r="B21" s="257"/>
      <c r="C21" s="257"/>
      <c r="D21" s="257"/>
    </row>
    <row r="22" spans="1:4" ht="21">
      <c r="A22" s="265" t="s">
        <v>11</v>
      </c>
      <c r="B22" s="268">
        <v>1294776</v>
      </c>
      <c r="C22" s="268">
        <v>815254.16</v>
      </c>
      <c r="D22" s="268">
        <v>1052868</v>
      </c>
    </row>
    <row r="23" spans="1:4" ht="21">
      <c r="A23" s="265" t="s">
        <v>404</v>
      </c>
      <c r="B23" s="268">
        <f>1612602.85+2925322.13</f>
        <v>4537924.98</v>
      </c>
      <c r="C23" s="268">
        <f>2746828+2927229.11</f>
        <v>5674057.109999999</v>
      </c>
      <c r="D23" s="268">
        <f>2250548+2713528.31</f>
        <v>4964076.3100000005</v>
      </c>
    </row>
    <row r="24" spans="1:4" ht="21">
      <c r="A24" s="265" t="s">
        <v>3</v>
      </c>
      <c r="B24" s="268">
        <v>270000</v>
      </c>
      <c r="C24" s="268">
        <v>287760</v>
      </c>
      <c r="D24" s="268">
        <v>313695</v>
      </c>
    </row>
    <row r="25" spans="1:4" ht="21">
      <c r="A25" s="265" t="s">
        <v>4</v>
      </c>
      <c r="B25" s="268">
        <v>872207.96</v>
      </c>
      <c r="C25" s="268">
        <v>1413058.37</v>
      </c>
      <c r="D25" s="268">
        <v>1851857.14</v>
      </c>
    </row>
    <row r="26" spans="1:4" ht="21">
      <c r="A26" s="265" t="s">
        <v>5</v>
      </c>
      <c r="B26" s="268">
        <v>1836181.5</v>
      </c>
      <c r="C26" s="268">
        <v>1590820</v>
      </c>
      <c r="D26" s="268">
        <v>648183.5</v>
      </c>
    </row>
    <row r="27" spans="1:4" ht="21">
      <c r="A27" s="265" t="s">
        <v>6</v>
      </c>
      <c r="B27" s="268">
        <v>1763893.26</v>
      </c>
      <c r="C27" s="268">
        <v>2673375.86</v>
      </c>
      <c r="D27" s="268">
        <v>4013487.1</v>
      </c>
    </row>
    <row r="28" spans="1:4" ht="21">
      <c r="A28" s="265" t="s">
        <v>7</v>
      </c>
      <c r="B28" s="268">
        <v>2395429.13</v>
      </c>
      <c r="C28" s="268">
        <v>2954430</v>
      </c>
      <c r="D28" s="268">
        <v>3315073.5</v>
      </c>
    </row>
    <row r="29" spans="1:4" ht="21">
      <c r="A29" s="265" t="s">
        <v>8</v>
      </c>
      <c r="B29" s="268">
        <v>558455.32</v>
      </c>
      <c r="C29" s="268">
        <v>693068.52</v>
      </c>
      <c r="D29" s="268">
        <v>869916.65</v>
      </c>
    </row>
    <row r="30" spans="1:4" ht="21">
      <c r="A30" s="265" t="s">
        <v>13</v>
      </c>
      <c r="B30" s="268">
        <v>2128600</v>
      </c>
      <c r="C30" s="268">
        <v>2512200</v>
      </c>
      <c r="D30" s="268">
        <v>2586600</v>
      </c>
    </row>
    <row r="31" spans="1:4" ht="21">
      <c r="A31" s="265" t="s">
        <v>9</v>
      </c>
      <c r="B31" s="268">
        <v>1617395</v>
      </c>
      <c r="C31" s="268">
        <v>447710</v>
      </c>
      <c r="D31" s="268">
        <v>400472</v>
      </c>
    </row>
    <row r="32" spans="1:4" ht="21">
      <c r="A32" s="265" t="s">
        <v>10</v>
      </c>
      <c r="B32" s="268">
        <v>3348519</v>
      </c>
      <c r="C32" s="268">
        <v>3292935.5</v>
      </c>
      <c r="D32" s="268">
        <v>5461540</v>
      </c>
    </row>
    <row r="33" spans="1:4" ht="21">
      <c r="A33" s="265" t="s">
        <v>12</v>
      </c>
      <c r="B33" s="268">
        <v>858450</v>
      </c>
      <c r="C33" s="268">
        <v>25000</v>
      </c>
      <c r="D33" s="268">
        <v>25000</v>
      </c>
    </row>
    <row r="34" spans="1:4" s="253" customFormat="1" ht="21">
      <c r="A34" s="262" t="s">
        <v>17</v>
      </c>
      <c r="B34" s="269">
        <f>SUM(B22:B33)</f>
        <v>21481832.150000002</v>
      </c>
      <c r="C34" s="269">
        <f>SUM(C22:C33)</f>
        <v>22379669.52</v>
      </c>
      <c r="D34" s="269">
        <f>SUM(D22:D33)</f>
        <v>25502769.2</v>
      </c>
    </row>
    <row r="35" spans="1:4" s="253" customFormat="1" ht="21">
      <c r="A35" s="255" t="s">
        <v>405</v>
      </c>
      <c r="B35" s="263"/>
      <c r="C35" s="263"/>
      <c r="D35" s="269"/>
    </row>
    <row r="36" spans="1:7" ht="21">
      <c r="A36" s="265" t="s">
        <v>401</v>
      </c>
      <c r="B36" s="268">
        <f>565535.6+40000+41700+30000+6932777</f>
        <v>7610012.6</v>
      </c>
      <c r="C36" s="268">
        <f>10146963.84+921486.12+50672+10000+112913.69</f>
        <v>11242035.649999999</v>
      </c>
      <c r="D36" s="268">
        <f>10210200+600000+450000+9298+67300+338047+51514.02</f>
        <v>11726359.02</v>
      </c>
      <c r="E36" s="288">
        <f>+B36-B17</f>
        <v>0</v>
      </c>
      <c r="F36" s="288">
        <f>+C36-C17</f>
        <v>0</v>
      </c>
      <c r="G36" s="288">
        <f>+D36-D17</f>
        <v>0</v>
      </c>
    </row>
    <row r="37" spans="1:4" ht="21">
      <c r="A37" s="256"/>
      <c r="B37" s="258"/>
      <c r="C37" s="258"/>
      <c r="D37" s="268"/>
    </row>
    <row r="38" spans="1:4" s="253" customFormat="1" ht="21">
      <c r="A38" s="266" t="s">
        <v>17</v>
      </c>
      <c r="B38" s="269">
        <f>SUM(B36:B37)</f>
        <v>7610012.6</v>
      </c>
      <c r="C38" s="269">
        <f>SUM(C36:C37)</f>
        <v>11242035.649999999</v>
      </c>
      <c r="D38" s="269">
        <f>SUM(D36:D37)</f>
        <v>11726359.02</v>
      </c>
    </row>
    <row r="39" spans="1:4" s="253" customFormat="1" ht="21">
      <c r="A39" s="267" t="s">
        <v>406</v>
      </c>
      <c r="B39" s="269">
        <f>+B34+B38</f>
        <v>29091844.75</v>
      </c>
      <c r="C39" s="269">
        <f>+C34+C38</f>
        <v>33621705.17</v>
      </c>
      <c r="D39" s="269">
        <f>+D34+D38</f>
        <v>37229128.22</v>
      </c>
    </row>
    <row r="40" spans="1:6" s="253" customFormat="1" ht="24.75" customHeight="1">
      <c r="A40" s="266" t="s">
        <v>407</v>
      </c>
      <c r="B40" s="269">
        <v>23817074.08</v>
      </c>
      <c r="C40" s="269">
        <v>25026518.34</v>
      </c>
      <c r="D40" s="269">
        <v>26871613.05</v>
      </c>
      <c r="F40" s="271"/>
    </row>
    <row r="44" ht="21">
      <c r="B44" s="252" t="s">
        <v>443</v>
      </c>
    </row>
    <row r="45" spans="2:3" ht="21">
      <c r="B45" s="290" t="s">
        <v>442</v>
      </c>
      <c r="C45" s="290"/>
    </row>
    <row r="46" spans="2:3" ht="21">
      <c r="B46" s="289" t="s">
        <v>436</v>
      </c>
      <c r="C46" s="287"/>
    </row>
    <row r="47" spans="2:3" ht="21">
      <c r="B47" s="289" t="s">
        <v>444</v>
      </c>
      <c r="C47" s="287"/>
    </row>
    <row r="48" spans="2:3" ht="21">
      <c r="B48" s="287"/>
      <c r="C48" s="287"/>
    </row>
    <row r="50" ht="21">
      <c r="B50" s="252" t="s">
        <v>408</v>
      </c>
    </row>
    <row r="51" spans="2:3" ht="21">
      <c r="B51" s="530" t="s">
        <v>328</v>
      </c>
      <c r="C51" s="530"/>
    </row>
  </sheetData>
  <sheetProtection/>
  <mergeCells count="6">
    <mergeCell ref="B51:C51"/>
    <mergeCell ref="B4:D4"/>
    <mergeCell ref="A4:A5"/>
    <mergeCell ref="A1:D1"/>
    <mergeCell ref="A2:D2"/>
    <mergeCell ref="A3:D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scale="93" r:id="rId1"/>
  <headerFooter>
    <oddHeader>&amp;C&amp;P</oddHeader>
  </headerFooter>
  <rowBreaks count="1" manualBreakCount="1">
    <brk id="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J52"/>
  <sheetViews>
    <sheetView view="pageBreakPreview" zoomScale="120" zoomScaleSheetLayoutView="120" zoomScalePageLayoutView="0" workbookViewId="0" topLeftCell="AL1">
      <selection activeCell="AO22" sqref="AO22"/>
    </sheetView>
  </sheetViews>
  <sheetFormatPr defaultColWidth="9.140625" defaultRowHeight="12.75"/>
  <cols>
    <col min="1" max="1" width="29.7109375" style="5" customWidth="1"/>
    <col min="2" max="2" width="20.28125" style="5" customWidth="1"/>
    <col min="3" max="3" width="12.7109375" style="5" customWidth="1"/>
    <col min="4" max="4" width="15.7109375" style="5" customWidth="1"/>
    <col min="5" max="5" width="15.8515625" style="6" customWidth="1"/>
    <col min="6" max="6" width="32.57421875" style="5" customWidth="1"/>
    <col min="7" max="7" width="28.00390625" style="5" customWidth="1"/>
    <col min="8" max="8" width="9.28125" style="5" customWidth="1"/>
    <col min="9" max="9" width="12.7109375" style="5" customWidth="1"/>
    <col min="10" max="10" width="12.8515625" style="6" customWidth="1"/>
    <col min="11" max="11" width="30.140625" style="5" customWidth="1"/>
    <col min="12" max="12" width="27.140625" style="5" customWidth="1"/>
    <col min="13" max="13" width="11.8515625" style="5" customWidth="1"/>
    <col min="14" max="14" width="13.00390625" style="5" customWidth="1"/>
    <col min="15" max="15" width="13.00390625" style="6" customWidth="1"/>
    <col min="16" max="16" width="31.28125" style="5" customWidth="1"/>
    <col min="17" max="17" width="28.00390625" style="5" customWidth="1"/>
    <col min="18" max="18" width="15.00390625" style="5" hidden="1" customWidth="1"/>
    <col min="19" max="19" width="10.140625" style="5" customWidth="1"/>
    <col min="20" max="20" width="12.421875" style="5" bestFit="1" customWidth="1"/>
    <col min="21" max="21" width="12.28125" style="6" bestFit="1" customWidth="1"/>
    <col min="22" max="22" width="28.8515625" style="5" customWidth="1"/>
    <col min="23" max="23" width="25.8515625" style="5" customWidth="1"/>
    <col min="24" max="24" width="15.00390625" style="5" hidden="1" customWidth="1"/>
    <col min="25" max="25" width="11.140625" style="5" customWidth="1"/>
    <col min="26" max="26" width="13.140625" style="5" customWidth="1"/>
    <col min="27" max="27" width="13.140625" style="6" customWidth="1"/>
    <col min="28" max="28" width="30.57421875" style="5" customWidth="1"/>
    <col min="29" max="29" width="28.7109375" style="5" customWidth="1"/>
    <col min="30" max="30" width="11.140625" style="5" customWidth="1"/>
    <col min="31" max="31" width="12.421875" style="27" customWidth="1"/>
    <col min="32" max="32" width="12.140625" style="104" customWidth="1"/>
    <col min="33" max="33" width="29.421875" style="5" customWidth="1"/>
    <col min="34" max="34" width="28.28125" style="5" customWidth="1"/>
    <col min="35" max="35" width="11.28125" style="5" customWidth="1"/>
    <col min="36" max="36" width="13.421875" style="5" customWidth="1"/>
    <col min="37" max="37" width="12.28125" style="5" customWidth="1"/>
    <col min="38" max="38" width="22.00390625" style="5" customWidth="1"/>
    <col min="39" max="39" width="27.00390625" style="5" customWidth="1"/>
    <col min="40" max="40" width="11.8515625" style="5" customWidth="1"/>
    <col min="41" max="41" width="13.28125" style="5" customWidth="1"/>
    <col min="42" max="42" width="14.140625" style="5" customWidth="1"/>
    <col min="43" max="43" width="29.7109375" style="5" customWidth="1"/>
    <col min="44" max="44" width="18.57421875" style="5" customWidth="1"/>
    <col min="45" max="45" width="10.28125" style="5" customWidth="1"/>
    <col min="46" max="46" width="13.421875" style="5" customWidth="1"/>
    <col min="47" max="47" width="13.28125" style="5" customWidth="1"/>
    <col min="48" max="48" width="31.140625" style="5" customWidth="1"/>
    <col min="49" max="49" width="17.421875" style="5" customWidth="1"/>
    <col min="50" max="50" width="15.00390625" style="5" customWidth="1"/>
    <col min="51" max="51" width="14.7109375" style="5" customWidth="1"/>
    <col min="52" max="52" width="16.421875" style="5" customWidth="1"/>
    <col min="53" max="53" width="32.8515625" style="5" customWidth="1"/>
    <col min="54" max="54" width="21.00390625" style="5" customWidth="1"/>
    <col min="55" max="55" width="12.140625" style="5" customWidth="1"/>
    <col min="56" max="56" width="13.7109375" style="5" customWidth="1"/>
    <col min="57" max="57" width="13.8515625" style="5" customWidth="1"/>
    <col min="58" max="58" width="31.57421875" style="5" customWidth="1"/>
    <col min="59" max="59" width="19.421875" style="5" customWidth="1"/>
    <col min="60" max="60" width="13.8515625" style="5" customWidth="1"/>
    <col min="61" max="61" width="15.140625" style="5" customWidth="1"/>
    <col min="62" max="62" width="15.28125" style="5" customWidth="1"/>
    <col min="63" max="16384" width="9.140625" style="5" customWidth="1"/>
  </cols>
  <sheetData>
    <row r="1" spans="1:62" ht="15.75">
      <c r="A1" s="462" t="s">
        <v>29</v>
      </c>
      <c r="B1" s="462"/>
      <c r="C1" s="462"/>
      <c r="D1" s="462"/>
      <c r="E1" s="462"/>
      <c r="F1" s="462" t="s">
        <v>29</v>
      </c>
      <c r="G1" s="462"/>
      <c r="H1" s="462"/>
      <c r="I1" s="462"/>
      <c r="J1" s="462"/>
      <c r="K1" s="462" t="s">
        <v>29</v>
      </c>
      <c r="L1" s="462"/>
      <c r="M1" s="462"/>
      <c r="N1" s="462"/>
      <c r="O1" s="462"/>
      <c r="P1" s="462" t="s">
        <v>29</v>
      </c>
      <c r="Q1" s="462"/>
      <c r="R1" s="462"/>
      <c r="S1" s="462"/>
      <c r="T1" s="462"/>
      <c r="U1" s="462"/>
      <c r="V1" s="462" t="s">
        <v>29</v>
      </c>
      <c r="W1" s="462"/>
      <c r="X1" s="462"/>
      <c r="Y1" s="462"/>
      <c r="Z1" s="462"/>
      <c r="AA1" s="462"/>
      <c r="AB1" s="462" t="s">
        <v>29</v>
      </c>
      <c r="AC1" s="462"/>
      <c r="AD1" s="462"/>
      <c r="AE1" s="462"/>
      <c r="AF1" s="462"/>
      <c r="AG1" s="462" t="s">
        <v>29</v>
      </c>
      <c r="AH1" s="462"/>
      <c r="AI1" s="462"/>
      <c r="AJ1" s="462"/>
      <c r="AK1" s="462"/>
      <c r="AL1" s="462" t="s">
        <v>29</v>
      </c>
      <c r="AM1" s="462"/>
      <c r="AN1" s="462"/>
      <c r="AO1" s="462"/>
      <c r="AP1" s="462"/>
      <c r="AQ1" s="462" t="s">
        <v>29</v>
      </c>
      <c r="AR1" s="462"/>
      <c r="AS1" s="462"/>
      <c r="AT1" s="462"/>
      <c r="AU1" s="462"/>
      <c r="AV1" s="462" t="s">
        <v>29</v>
      </c>
      <c r="AW1" s="462"/>
      <c r="AX1" s="462"/>
      <c r="AY1" s="462"/>
      <c r="AZ1" s="462"/>
      <c r="BA1" s="462" t="s">
        <v>29</v>
      </c>
      <c r="BB1" s="462"/>
      <c r="BC1" s="462"/>
      <c r="BD1" s="462"/>
      <c r="BE1" s="462"/>
      <c r="BF1" s="462" t="s">
        <v>29</v>
      </c>
      <c r="BG1" s="462"/>
      <c r="BH1" s="462"/>
      <c r="BI1" s="462"/>
      <c r="BJ1" s="462"/>
    </row>
    <row r="2" spans="1:62" ht="15.75">
      <c r="A2" s="462" t="s">
        <v>125</v>
      </c>
      <c r="B2" s="462"/>
      <c r="C2" s="462"/>
      <c r="D2" s="462"/>
      <c r="E2" s="462"/>
      <c r="F2" s="462" t="s">
        <v>125</v>
      </c>
      <c r="G2" s="462"/>
      <c r="H2" s="462"/>
      <c r="I2" s="462"/>
      <c r="J2" s="462"/>
      <c r="K2" s="462" t="s">
        <v>125</v>
      </c>
      <c r="L2" s="462"/>
      <c r="M2" s="462"/>
      <c r="N2" s="462"/>
      <c r="O2" s="462"/>
      <c r="P2" s="462" t="s">
        <v>125</v>
      </c>
      <c r="Q2" s="462"/>
      <c r="R2" s="462"/>
      <c r="S2" s="462"/>
      <c r="T2" s="462"/>
      <c r="U2" s="462"/>
      <c r="V2" s="462" t="s">
        <v>125</v>
      </c>
      <c r="W2" s="462"/>
      <c r="X2" s="462"/>
      <c r="Y2" s="462"/>
      <c r="Z2" s="462"/>
      <c r="AA2" s="462"/>
      <c r="AB2" s="462" t="s">
        <v>125</v>
      </c>
      <c r="AC2" s="462"/>
      <c r="AD2" s="462"/>
      <c r="AE2" s="462"/>
      <c r="AF2" s="462"/>
      <c r="AG2" s="462" t="s">
        <v>125</v>
      </c>
      <c r="AH2" s="462"/>
      <c r="AI2" s="462"/>
      <c r="AJ2" s="462"/>
      <c r="AK2" s="462"/>
      <c r="AL2" s="462" t="s">
        <v>125</v>
      </c>
      <c r="AM2" s="462"/>
      <c r="AN2" s="462"/>
      <c r="AO2" s="462"/>
      <c r="AP2" s="462"/>
      <c r="AQ2" s="462" t="s">
        <v>125</v>
      </c>
      <c r="AR2" s="462"/>
      <c r="AS2" s="462"/>
      <c r="AT2" s="462"/>
      <c r="AU2" s="462"/>
      <c r="AV2" s="462" t="s">
        <v>125</v>
      </c>
      <c r="AW2" s="462"/>
      <c r="AX2" s="462"/>
      <c r="AY2" s="462"/>
      <c r="AZ2" s="462"/>
      <c r="BA2" s="462" t="s">
        <v>458</v>
      </c>
      <c r="BB2" s="462"/>
      <c r="BC2" s="462"/>
      <c r="BD2" s="462"/>
      <c r="BE2" s="462"/>
      <c r="BF2" s="462" t="s">
        <v>459</v>
      </c>
      <c r="BG2" s="462"/>
      <c r="BH2" s="462"/>
      <c r="BI2" s="462"/>
      <c r="BJ2" s="462"/>
    </row>
    <row r="3" spans="1:62" ht="15.75">
      <c r="A3" s="465" t="s">
        <v>466</v>
      </c>
      <c r="B3" s="465"/>
      <c r="C3" s="465"/>
      <c r="D3" s="465"/>
      <c r="E3" s="465"/>
      <c r="F3" s="465" t="s">
        <v>479</v>
      </c>
      <c r="G3" s="465"/>
      <c r="H3" s="465"/>
      <c r="I3" s="465"/>
      <c r="J3" s="465"/>
      <c r="K3" s="465" t="s">
        <v>526</v>
      </c>
      <c r="L3" s="465"/>
      <c r="M3" s="465"/>
      <c r="N3" s="465"/>
      <c r="O3" s="465"/>
      <c r="P3" s="465" t="s">
        <v>480</v>
      </c>
      <c r="Q3" s="465"/>
      <c r="R3" s="465"/>
      <c r="S3" s="465"/>
      <c r="T3" s="465"/>
      <c r="U3" s="465"/>
      <c r="V3" s="465" t="s">
        <v>519</v>
      </c>
      <c r="W3" s="465"/>
      <c r="X3" s="465"/>
      <c r="Y3" s="465"/>
      <c r="Z3" s="465"/>
      <c r="AA3" s="465"/>
      <c r="AB3" s="465" t="s">
        <v>386</v>
      </c>
      <c r="AC3" s="465"/>
      <c r="AD3" s="465"/>
      <c r="AE3" s="465"/>
      <c r="AF3" s="465"/>
      <c r="AG3" s="465" t="s">
        <v>577</v>
      </c>
      <c r="AH3" s="465"/>
      <c r="AI3" s="465"/>
      <c r="AJ3" s="465"/>
      <c r="AK3" s="465"/>
      <c r="AL3" s="465" t="s">
        <v>591</v>
      </c>
      <c r="AM3" s="465"/>
      <c r="AN3" s="465"/>
      <c r="AO3" s="465"/>
      <c r="AP3" s="465"/>
      <c r="AQ3" s="465" t="s">
        <v>447</v>
      </c>
      <c r="AR3" s="465"/>
      <c r="AS3" s="465"/>
      <c r="AT3" s="465"/>
      <c r="AU3" s="465"/>
      <c r="AV3" s="465" t="s">
        <v>448</v>
      </c>
      <c r="AW3" s="465"/>
      <c r="AX3" s="465"/>
      <c r="AY3" s="465"/>
      <c r="AZ3" s="465"/>
      <c r="BA3" s="465" t="s">
        <v>457</v>
      </c>
      <c r="BB3" s="465"/>
      <c r="BC3" s="465"/>
      <c r="BD3" s="465"/>
      <c r="BE3" s="465"/>
      <c r="BF3" s="465" t="s">
        <v>457</v>
      </c>
      <c r="BG3" s="465"/>
      <c r="BH3" s="465"/>
      <c r="BI3" s="465"/>
      <c r="BJ3" s="465"/>
    </row>
    <row r="4" spans="1:62" ht="15.75">
      <c r="A4" s="466" t="s">
        <v>39</v>
      </c>
      <c r="B4" s="467"/>
      <c r="C4" s="61" t="s">
        <v>51</v>
      </c>
      <c r="D4" s="61" t="s">
        <v>40</v>
      </c>
      <c r="E4" s="7" t="s">
        <v>1</v>
      </c>
      <c r="F4" s="466" t="s">
        <v>39</v>
      </c>
      <c r="G4" s="467"/>
      <c r="H4" s="61" t="s">
        <v>51</v>
      </c>
      <c r="I4" s="61" t="s">
        <v>40</v>
      </c>
      <c r="J4" s="7" t="s">
        <v>1</v>
      </c>
      <c r="K4" s="466" t="s">
        <v>39</v>
      </c>
      <c r="L4" s="467"/>
      <c r="M4" s="61" t="s">
        <v>51</v>
      </c>
      <c r="N4" s="61" t="s">
        <v>40</v>
      </c>
      <c r="O4" s="7" t="s">
        <v>1</v>
      </c>
      <c r="P4" s="466" t="s">
        <v>39</v>
      </c>
      <c r="Q4" s="467"/>
      <c r="R4" s="469"/>
      <c r="S4" s="61" t="s">
        <v>51</v>
      </c>
      <c r="T4" s="61" t="s">
        <v>40</v>
      </c>
      <c r="U4" s="7" t="s">
        <v>1</v>
      </c>
      <c r="V4" s="466" t="s">
        <v>39</v>
      </c>
      <c r="W4" s="467"/>
      <c r="X4" s="469"/>
      <c r="Y4" s="61" t="s">
        <v>51</v>
      </c>
      <c r="Z4" s="61" t="s">
        <v>40</v>
      </c>
      <c r="AA4" s="7" t="s">
        <v>1</v>
      </c>
      <c r="AB4" s="466" t="s">
        <v>39</v>
      </c>
      <c r="AC4" s="467"/>
      <c r="AD4" s="61" t="s">
        <v>51</v>
      </c>
      <c r="AE4" s="414" t="s">
        <v>40</v>
      </c>
      <c r="AF4" s="386" t="s">
        <v>1</v>
      </c>
      <c r="AG4" s="466" t="s">
        <v>39</v>
      </c>
      <c r="AH4" s="467"/>
      <c r="AI4" s="61" t="s">
        <v>51</v>
      </c>
      <c r="AJ4" s="61" t="s">
        <v>40</v>
      </c>
      <c r="AK4" s="7" t="s">
        <v>1</v>
      </c>
      <c r="AL4" s="466" t="s">
        <v>39</v>
      </c>
      <c r="AM4" s="467"/>
      <c r="AN4" s="61" t="s">
        <v>51</v>
      </c>
      <c r="AO4" s="61" t="s">
        <v>40</v>
      </c>
      <c r="AP4" s="7" t="s">
        <v>1</v>
      </c>
      <c r="AQ4" s="466" t="s">
        <v>39</v>
      </c>
      <c r="AR4" s="467"/>
      <c r="AS4" s="61" t="s">
        <v>51</v>
      </c>
      <c r="AT4" s="61" t="s">
        <v>40</v>
      </c>
      <c r="AU4" s="7" t="s">
        <v>1</v>
      </c>
      <c r="AV4" s="466" t="s">
        <v>39</v>
      </c>
      <c r="AW4" s="467"/>
      <c r="AX4" s="61" t="s">
        <v>51</v>
      </c>
      <c r="AY4" s="61" t="s">
        <v>40</v>
      </c>
      <c r="AZ4" s="7" t="s">
        <v>1</v>
      </c>
      <c r="BA4" s="466" t="s">
        <v>39</v>
      </c>
      <c r="BB4" s="467"/>
      <c r="BC4" s="61" t="s">
        <v>51</v>
      </c>
      <c r="BD4" s="61" t="s">
        <v>40</v>
      </c>
      <c r="BE4" s="7" t="s">
        <v>1</v>
      </c>
      <c r="BF4" s="466" t="s">
        <v>39</v>
      </c>
      <c r="BG4" s="467"/>
      <c r="BH4" s="61" t="s">
        <v>51</v>
      </c>
      <c r="BI4" s="61" t="s">
        <v>40</v>
      </c>
      <c r="BJ4" s="7" t="s">
        <v>1</v>
      </c>
    </row>
    <row r="5" spans="1:62" ht="15.75">
      <c r="A5" s="18" t="s">
        <v>2</v>
      </c>
      <c r="B5" s="20"/>
      <c r="C5" s="62">
        <v>110100</v>
      </c>
      <c r="D5" s="63">
        <f>SUM(งบดุลบัญชี!K4)</f>
        <v>0</v>
      </c>
      <c r="E5" s="17"/>
      <c r="F5" s="18" t="s">
        <v>2</v>
      </c>
      <c r="G5" s="20"/>
      <c r="H5" s="62">
        <v>110100</v>
      </c>
      <c r="I5" s="63">
        <f>SUM(งบดุลบัญชี!Q4)</f>
        <v>0</v>
      </c>
      <c r="J5" s="17"/>
      <c r="K5" s="18" t="s">
        <v>2</v>
      </c>
      <c r="L5" s="20"/>
      <c r="M5" s="62">
        <v>110100</v>
      </c>
      <c r="N5" s="63">
        <f>SUM(งบดุลบัญชี!W4)</f>
        <v>0</v>
      </c>
      <c r="O5" s="17"/>
      <c r="P5" s="18" t="s">
        <v>2</v>
      </c>
      <c r="Q5" s="20"/>
      <c r="R5" s="21"/>
      <c r="S5" s="62">
        <v>110100</v>
      </c>
      <c r="T5" s="63">
        <f>SUM(งบดุลบัญชี!AC4)</f>
        <v>4342.6</v>
      </c>
      <c r="U5" s="17"/>
      <c r="V5" s="18" t="s">
        <v>2</v>
      </c>
      <c r="W5" s="20"/>
      <c r="X5" s="21"/>
      <c r="Y5" s="62">
        <v>110100</v>
      </c>
      <c r="Z5" s="63">
        <f>SUM(งบดุลบัญชี!AI4)</f>
        <v>7200</v>
      </c>
      <c r="AA5" s="17"/>
      <c r="AB5" s="18" t="s">
        <v>2</v>
      </c>
      <c r="AC5" s="20"/>
      <c r="AD5" s="62">
        <v>110100</v>
      </c>
      <c r="AE5" s="213">
        <f>SUM(งบดุลบัญชี!AO4)</f>
        <v>0</v>
      </c>
      <c r="AF5" s="75"/>
      <c r="AG5" s="18" t="s">
        <v>2</v>
      </c>
      <c r="AH5" s="20"/>
      <c r="AI5" s="62">
        <v>110100</v>
      </c>
      <c r="AJ5" s="213">
        <f>+งบดุลบัญชี!AU4</f>
        <v>30.59</v>
      </c>
      <c r="AK5" s="75"/>
      <c r="AL5" s="18" t="s">
        <v>2</v>
      </c>
      <c r="AM5" s="20"/>
      <c r="AN5" s="62">
        <v>110100</v>
      </c>
      <c r="AO5" s="213">
        <f>SUM(งบดุลบัญชี!AY4)</f>
        <v>0</v>
      </c>
      <c r="AP5" s="75"/>
      <c r="AQ5" s="18" t="s">
        <v>2</v>
      </c>
      <c r="AR5" s="20"/>
      <c r="AS5" s="62">
        <v>110100</v>
      </c>
      <c r="AT5" s="213">
        <f>+งบดุลบัญชี!BM4</f>
        <v>0</v>
      </c>
      <c r="AU5" s="75"/>
      <c r="AV5" s="18" t="s">
        <v>2</v>
      </c>
      <c r="AW5" s="20"/>
      <c r="AX5" s="62">
        <v>110100</v>
      </c>
      <c r="AY5" s="213">
        <f>+งบดุลบัญชี!BS4</f>
        <v>0</v>
      </c>
      <c r="AZ5" s="75"/>
      <c r="BA5" s="18" t="s">
        <v>2</v>
      </c>
      <c r="BB5" s="20"/>
      <c r="BC5" s="62">
        <v>110100</v>
      </c>
      <c r="BD5" s="213">
        <f>+งบดุลบัญชี!BY4</f>
        <v>0</v>
      </c>
      <c r="BE5" s="75"/>
      <c r="BF5" s="18" t="s">
        <v>2</v>
      </c>
      <c r="BG5" s="20"/>
      <c r="BH5" s="62">
        <v>110100</v>
      </c>
      <c r="BI5" s="213">
        <f>+งบดุลบัญชี!CD4</f>
        <v>0</v>
      </c>
      <c r="BJ5" s="75"/>
    </row>
    <row r="6" spans="1:62" ht="15.75">
      <c r="A6" s="15" t="s">
        <v>439</v>
      </c>
      <c r="B6" s="19"/>
      <c r="C6" s="64">
        <v>110201</v>
      </c>
      <c r="D6" s="63">
        <f>SUM(งบดุลบัญชี!K11)</f>
        <v>18076105.25</v>
      </c>
      <c r="E6" s="63" t="s">
        <v>52</v>
      </c>
      <c r="F6" s="15" t="s">
        <v>302</v>
      </c>
      <c r="G6" s="19" t="s">
        <v>303</v>
      </c>
      <c r="H6" s="64">
        <v>110201</v>
      </c>
      <c r="I6" s="63">
        <f>SUM(งบดุลบัญชี!Q11)</f>
        <v>24768048.759999998</v>
      </c>
      <c r="J6" s="63" t="s">
        <v>52</v>
      </c>
      <c r="K6" s="15" t="s">
        <v>302</v>
      </c>
      <c r="L6" s="19" t="s">
        <v>303</v>
      </c>
      <c r="M6" s="64">
        <v>110201</v>
      </c>
      <c r="N6" s="63">
        <f>SUM(งบดุลบัญชี!W11)</f>
        <v>27588560.779999997</v>
      </c>
      <c r="O6" s="63" t="s">
        <v>52</v>
      </c>
      <c r="P6" s="15" t="s">
        <v>302</v>
      </c>
      <c r="Q6" s="19" t="s">
        <v>303</v>
      </c>
      <c r="R6" s="16"/>
      <c r="S6" s="64">
        <v>110201</v>
      </c>
      <c r="T6" s="63">
        <f>SUM(งบดุลบัญชี!AC11)</f>
        <v>30901303.179999996</v>
      </c>
      <c r="U6" s="63" t="s">
        <v>52</v>
      </c>
      <c r="V6" s="15" t="s">
        <v>302</v>
      </c>
      <c r="W6" s="19" t="s">
        <v>303</v>
      </c>
      <c r="X6" s="16"/>
      <c r="Y6" s="64">
        <v>110201</v>
      </c>
      <c r="Z6" s="63">
        <f>SUM(งบดุลบัญชี!AI11)</f>
        <v>26857911.879999995</v>
      </c>
      <c r="AA6" s="63" t="s">
        <v>52</v>
      </c>
      <c r="AB6" s="15" t="s">
        <v>302</v>
      </c>
      <c r="AC6" s="19" t="s">
        <v>303</v>
      </c>
      <c r="AD6" s="64">
        <v>110201</v>
      </c>
      <c r="AE6" s="213">
        <f>SUM(งบดุลบัญชี!AO11)</f>
        <v>27432878.499999993</v>
      </c>
      <c r="AF6" s="213" t="s">
        <v>52</v>
      </c>
      <c r="AG6" s="15" t="s">
        <v>302</v>
      </c>
      <c r="AH6" s="19" t="s">
        <v>303</v>
      </c>
      <c r="AI6" s="64">
        <v>110201</v>
      </c>
      <c r="AJ6" s="213">
        <f>+งบดุลบัญชี!AU11</f>
        <v>28026013.409999996</v>
      </c>
      <c r="AK6" s="213" t="s">
        <v>52</v>
      </c>
      <c r="AL6" s="15" t="s">
        <v>302</v>
      </c>
      <c r="AM6" s="19" t="s">
        <v>303</v>
      </c>
      <c r="AN6" s="64">
        <v>110201</v>
      </c>
      <c r="AO6" s="213">
        <f>+งบดุลบัญชี!BA11</f>
        <v>30212233.6</v>
      </c>
      <c r="AP6" s="213" t="s">
        <v>52</v>
      </c>
      <c r="AQ6" s="15" t="s">
        <v>439</v>
      </c>
      <c r="AR6" s="19"/>
      <c r="AS6" s="64">
        <v>110201</v>
      </c>
      <c r="AT6" s="213">
        <f>+งบดุลบัญชี!BM11</f>
        <v>30212233.6</v>
      </c>
      <c r="AU6" s="213" t="s">
        <v>52</v>
      </c>
      <c r="AV6" s="15" t="s">
        <v>439</v>
      </c>
      <c r="AW6" s="19"/>
      <c r="AX6" s="64">
        <v>110201</v>
      </c>
      <c r="AY6" s="213">
        <f>+งบดุลบัญชี!BS11</f>
        <v>30212233.6</v>
      </c>
      <c r="AZ6" s="213" t="s">
        <v>52</v>
      </c>
      <c r="BA6" s="15" t="s">
        <v>439</v>
      </c>
      <c r="BB6" s="19"/>
      <c r="BC6" s="64">
        <v>110201</v>
      </c>
      <c r="BD6" s="213">
        <f>+งบดุลบัญชี!BY11</f>
        <v>30212233.6</v>
      </c>
      <c r="BE6" s="213" t="s">
        <v>52</v>
      </c>
      <c r="BF6" s="15" t="s">
        <v>439</v>
      </c>
      <c r="BG6" s="19"/>
      <c r="BH6" s="64">
        <v>110201</v>
      </c>
      <c r="BI6" s="213">
        <f>+งบดุลบัญชี!CC11</f>
        <v>30212233.6</v>
      </c>
      <c r="BJ6" s="213" t="s">
        <v>52</v>
      </c>
    </row>
    <row r="7" spans="1:62" ht="15.75">
      <c r="A7" s="15" t="s">
        <v>440</v>
      </c>
      <c r="B7" s="19"/>
      <c r="C7" s="64">
        <v>110201</v>
      </c>
      <c r="D7" s="17">
        <f>SUM(งบดุลบัญชี!K14)</f>
        <v>4964754.21</v>
      </c>
      <c r="E7" s="17" t="s">
        <v>53</v>
      </c>
      <c r="F7" s="15" t="s">
        <v>304</v>
      </c>
      <c r="G7" s="19" t="s">
        <v>305</v>
      </c>
      <c r="H7" s="64">
        <v>110201</v>
      </c>
      <c r="I7" s="17">
        <f>SUM(งบดุลบัญชี!Q14)</f>
        <v>2404691.2199999997</v>
      </c>
      <c r="J7" s="17" t="s">
        <v>53</v>
      </c>
      <c r="K7" s="15" t="s">
        <v>304</v>
      </c>
      <c r="L7" s="19" t="s">
        <v>305</v>
      </c>
      <c r="M7" s="64">
        <v>110201</v>
      </c>
      <c r="N7" s="17">
        <f>SUM(งบดุลบัญชี!W14)</f>
        <v>5233945.4799999995</v>
      </c>
      <c r="O7" s="17" t="s">
        <v>53</v>
      </c>
      <c r="P7" s="15" t="s">
        <v>304</v>
      </c>
      <c r="Q7" s="19" t="s">
        <v>305</v>
      </c>
      <c r="R7" s="16"/>
      <c r="S7" s="64">
        <v>110201</v>
      </c>
      <c r="T7" s="17">
        <f>SUM(งบดุลบัญชี!AC14)</f>
        <v>1565030.0499999993</v>
      </c>
      <c r="U7" s="17" t="s">
        <v>53</v>
      </c>
      <c r="V7" s="15" t="s">
        <v>304</v>
      </c>
      <c r="W7" s="19" t="s">
        <v>305</v>
      </c>
      <c r="X7" s="16"/>
      <c r="Y7" s="64">
        <v>110201</v>
      </c>
      <c r="Z7" s="63">
        <f>SUM(งบดุลบัญชี!AI14)</f>
        <v>5285094.069999999</v>
      </c>
      <c r="AA7" s="17" t="s">
        <v>53</v>
      </c>
      <c r="AB7" s="15" t="s">
        <v>304</v>
      </c>
      <c r="AC7" s="19" t="s">
        <v>305</v>
      </c>
      <c r="AD7" s="64">
        <v>110201</v>
      </c>
      <c r="AE7" s="213">
        <f>SUM(งบดุลบัญชี!AO14)</f>
        <v>7739729.049999999</v>
      </c>
      <c r="AF7" s="75" t="s">
        <v>53</v>
      </c>
      <c r="AG7" s="15" t="s">
        <v>304</v>
      </c>
      <c r="AH7" s="19" t="s">
        <v>305</v>
      </c>
      <c r="AI7" s="64">
        <v>110201</v>
      </c>
      <c r="AJ7" s="213">
        <f>+งบดุลบัญชี!AU14</f>
        <v>6392841.279999999</v>
      </c>
      <c r="AK7" s="75" t="s">
        <v>53</v>
      </c>
      <c r="AL7" s="15" t="s">
        <v>304</v>
      </c>
      <c r="AM7" s="19" t="s">
        <v>305</v>
      </c>
      <c r="AN7" s="64">
        <v>110201</v>
      </c>
      <c r="AO7" s="213">
        <f>+งบดุลบัญชี!BA14</f>
        <v>2930815.1299999994</v>
      </c>
      <c r="AP7" s="75" t="s">
        <v>53</v>
      </c>
      <c r="AQ7" s="15" t="s">
        <v>440</v>
      </c>
      <c r="AR7" s="19"/>
      <c r="AS7" s="64">
        <v>110201</v>
      </c>
      <c r="AT7" s="213">
        <f>+งบดุลบัญชี!BM14</f>
        <v>2930815.1299999994</v>
      </c>
      <c r="AU7" s="75" t="s">
        <v>53</v>
      </c>
      <c r="AV7" s="15" t="s">
        <v>440</v>
      </c>
      <c r="AW7" s="19"/>
      <c r="AX7" s="64">
        <v>110201</v>
      </c>
      <c r="AY7" s="213">
        <f>+งบดุลบัญชี!BS14</f>
        <v>2930815.1299999994</v>
      </c>
      <c r="AZ7" s="75" t="s">
        <v>53</v>
      </c>
      <c r="BA7" s="15" t="s">
        <v>440</v>
      </c>
      <c r="BB7" s="19"/>
      <c r="BC7" s="64">
        <v>110201</v>
      </c>
      <c r="BD7" s="213">
        <f>+งบดุลบัญชี!BY14</f>
        <v>2930815.1299999994</v>
      </c>
      <c r="BE7" s="75" t="s">
        <v>53</v>
      </c>
      <c r="BF7" s="15" t="s">
        <v>440</v>
      </c>
      <c r="BG7" s="19"/>
      <c r="BH7" s="64">
        <v>110201</v>
      </c>
      <c r="BI7" s="213">
        <f>+งบดุลบัญชี!CC14</f>
        <v>2930815.1299999994</v>
      </c>
      <c r="BJ7" s="75" t="s">
        <v>53</v>
      </c>
    </row>
    <row r="8" spans="1:62" ht="15.75">
      <c r="A8" s="15" t="s">
        <v>441</v>
      </c>
      <c r="B8" s="19"/>
      <c r="C8" s="64">
        <v>110201</v>
      </c>
      <c r="D8" s="17">
        <f>SUM(งบดุลบัญชี!K15)</f>
        <v>18801.15</v>
      </c>
      <c r="E8" s="17" t="s">
        <v>53</v>
      </c>
      <c r="F8" s="15" t="s">
        <v>304</v>
      </c>
      <c r="G8" s="19" t="s">
        <v>306</v>
      </c>
      <c r="H8" s="64">
        <v>110201</v>
      </c>
      <c r="I8" s="17">
        <f>SUM(งบดุลบัญชี!Q15)</f>
        <v>18801.15</v>
      </c>
      <c r="J8" s="17" t="s">
        <v>53</v>
      </c>
      <c r="K8" s="15" t="s">
        <v>304</v>
      </c>
      <c r="L8" s="19" t="s">
        <v>306</v>
      </c>
      <c r="M8" s="64">
        <v>110201</v>
      </c>
      <c r="N8" s="17">
        <f>SUM(งบดุลบัญชี!W15)</f>
        <v>18801.15</v>
      </c>
      <c r="O8" s="17" t="s">
        <v>53</v>
      </c>
      <c r="P8" s="15" t="s">
        <v>304</v>
      </c>
      <c r="Q8" s="19" t="s">
        <v>306</v>
      </c>
      <c r="R8" s="16"/>
      <c r="S8" s="64">
        <v>110201</v>
      </c>
      <c r="T8" s="17">
        <f>SUM(งบดุลบัญชี!AC15)</f>
        <v>23716.15</v>
      </c>
      <c r="U8" s="17" t="s">
        <v>53</v>
      </c>
      <c r="V8" s="15" t="s">
        <v>304</v>
      </c>
      <c r="W8" s="19" t="s">
        <v>306</v>
      </c>
      <c r="X8" s="16"/>
      <c r="Y8" s="64">
        <v>110201</v>
      </c>
      <c r="Z8" s="63">
        <f>SUM(งบดุลบัญชี!AI15)</f>
        <v>23716.15</v>
      </c>
      <c r="AA8" s="17" t="s">
        <v>53</v>
      </c>
      <c r="AB8" s="15" t="s">
        <v>304</v>
      </c>
      <c r="AC8" s="19" t="s">
        <v>306</v>
      </c>
      <c r="AD8" s="64">
        <v>110201</v>
      </c>
      <c r="AE8" s="213">
        <f>SUM(งบดุลบัญชี!AO15)</f>
        <v>23767.06</v>
      </c>
      <c r="AF8" s="75" t="s">
        <v>53</v>
      </c>
      <c r="AG8" s="15" t="s">
        <v>304</v>
      </c>
      <c r="AH8" s="19" t="s">
        <v>306</v>
      </c>
      <c r="AI8" s="64">
        <v>110201</v>
      </c>
      <c r="AJ8" s="213">
        <f>+งบดุลบัญชี!AU15</f>
        <v>23767.06</v>
      </c>
      <c r="AK8" s="75" t="s">
        <v>53</v>
      </c>
      <c r="AL8" s="15" t="s">
        <v>304</v>
      </c>
      <c r="AM8" s="19" t="s">
        <v>306</v>
      </c>
      <c r="AN8" s="64">
        <v>110201</v>
      </c>
      <c r="AO8" s="213">
        <f>+งบดุลบัญชี!BA15</f>
        <v>23767.06</v>
      </c>
      <c r="AP8" s="75" t="s">
        <v>53</v>
      </c>
      <c r="AQ8" s="15" t="s">
        <v>441</v>
      </c>
      <c r="AR8" s="19"/>
      <c r="AS8" s="64">
        <v>110201</v>
      </c>
      <c r="AT8" s="213">
        <f>+งบดุลบัญชี!BM15</f>
        <v>23767.06</v>
      </c>
      <c r="AU8" s="75" t="s">
        <v>53</v>
      </c>
      <c r="AV8" s="15" t="s">
        <v>441</v>
      </c>
      <c r="AW8" s="19"/>
      <c r="AX8" s="64">
        <v>110201</v>
      </c>
      <c r="AY8" s="213">
        <f>+งบดุลบัญชี!BS15</f>
        <v>23767.06</v>
      </c>
      <c r="AZ8" s="75" t="s">
        <v>53</v>
      </c>
      <c r="BA8" s="15" t="s">
        <v>441</v>
      </c>
      <c r="BB8" s="19"/>
      <c r="BC8" s="64">
        <v>110201</v>
      </c>
      <c r="BD8" s="213">
        <f>+งบดุลบัญชี!BY15</f>
        <v>23767.06</v>
      </c>
      <c r="BE8" s="75" t="s">
        <v>53</v>
      </c>
      <c r="BF8" s="15" t="s">
        <v>441</v>
      </c>
      <c r="BG8" s="19"/>
      <c r="BH8" s="64">
        <v>110201</v>
      </c>
      <c r="BI8" s="213">
        <f>+งบดุลบัญชี!CC15</f>
        <v>23767.06</v>
      </c>
      <c r="BJ8" s="75" t="s">
        <v>53</v>
      </c>
    </row>
    <row r="9" spans="1:62" ht="15.75">
      <c r="A9" s="15" t="s">
        <v>56</v>
      </c>
      <c r="B9" s="19"/>
      <c r="C9" s="413">
        <v>110602</v>
      </c>
      <c r="D9" s="63">
        <f>SUM(งบดุลบัญชี!K18)</f>
        <v>11898.91</v>
      </c>
      <c r="E9" s="17"/>
      <c r="F9" s="15" t="s">
        <v>56</v>
      </c>
      <c r="G9" s="19"/>
      <c r="H9" s="413">
        <v>110602</v>
      </c>
      <c r="I9" s="63">
        <f>SUM(งบดุลบัญชี!Q18)</f>
        <v>11898.91</v>
      </c>
      <c r="J9" s="17"/>
      <c r="K9" s="15" t="s">
        <v>56</v>
      </c>
      <c r="L9" s="19"/>
      <c r="M9" s="413">
        <v>110602</v>
      </c>
      <c r="N9" s="63">
        <f>SUM(งบดุลบัญชี!W18)</f>
        <v>11898.91</v>
      </c>
      <c r="O9" s="17"/>
      <c r="P9" s="15" t="s">
        <v>56</v>
      </c>
      <c r="Q9" s="19"/>
      <c r="R9" s="16"/>
      <c r="S9" s="413">
        <v>110602</v>
      </c>
      <c r="T9" s="63">
        <f>SUM(งบดุลบัญชี!AC18)</f>
        <v>11898.91</v>
      </c>
      <c r="U9" s="17"/>
      <c r="V9" s="15" t="s">
        <v>56</v>
      </c>
      <c r="W9" s="19"/>
      <c r="X9" s="16"/>
      <c r="Y9" s="413">
        <v>110602</v>
      </c>
      <c r="Z9" s="63">
        <f>SUM(งบดุลบัญชี!AI18)</f>
        <v>11852.9</v>
      </c>
      <c r="AA9" s="17"/>
      <c r="AB9" s="15" t="s">
        <v>56</v>
      </c>
      <c r="AC9" s="19"/>
      <c r="AD9" s="413">
        <v>110602</v>
      </c>
      <c r="AE9" s="213">
        <f>SUM(งบดุลบัญชี!AO18)</f>
        <v>11852.9</v>
      </c>
      <c r="AF9" s="75"/>
      <c r="AG9" s="15" t="s">
        <v>56</v>
      </c>
      <c r="AH9" s="19"/>
      <c r="AI9" s="413">
        <v>110602</v>
      </c>
      <c r="AJ9" s="213">
        <f>+งบดุลบัญชี!AU18</f>
        <v>11852.9</v>
      </c>
      <c r="AK9" s="75"/>
      <c r="AL9" s="15" t="s">
        <v>56</v>
      </c>
      <c r="AM9" s="19"/>
      <c r="AN9" s="413">
        <v>110602</v>
      </c>
      <c r="AO9" s="213">
        <f>+งบดุลบัญชี!BA18</f>
        <v>11852.9</v>
      </c>
      <c r="AP9" s="75"/>
      <c r="AQ9" s="15" t="s">
        <v>56</v>
      </c>
      <c r="AR9" s="19"/>
      <c r="AS9" s="413">
        <v>110602</v>
      </c>
      <c r="AT9" s="213">
        <f>+งบดุลบัญชี!BG18</f>
        <v>11852.9</v>
      </c>
      <c r="AU9" s="75"/>
      <c r="AV9" s="15" t="s">
        <v>56</v>
      </c>
      <c r="AW9" s="19"/>
      <c r="AX9" s="413">
        <v>110602</v>
      </c>
      <c r="AY9" s="213">
        <f>+งบดุลบัญชี!BS18</f>
        <v>11852.9</v>
      </c>
      <c r="AZ9" s="75"/>
      <c r="BA9" s="15" t="s">
        <v>56</v>
      </c>
      <c r="BB9" s="19"/>
      <c r="BC9" s="413">
        <v>110602</v>
      </c>
      <c r="BD9" s="213">
        <f>+งบดุลบัญชี!BY18</f>
        <v>11852.9</v>
      </c>
      <c r="BE9" s="75"/>
      <c r="BF9" s="15" t="s">
        <v>56</v>
      </c>
      <c r="BG9" s="19"/>
      <c r="BH9" s="413">
        <v>110602</v>
      </c>
      <c r="BI9" s="213">
        <f>+งบดุลบัญชี!CC18</f>
        <v>11852.9</v>
      </c>
      <c r="BJ9" s="75"/>
    </row>
    <row r="10" spans="1:62" ht="15.75">
      <c r="A10" s="15" t="s">
        <v>59</v>
      </c>
      <c r="B10" s="19"/>
      <c r="C10" s="64">
        <v>110604</v>
      </c>
      <c r="D10" s="63">
        <f>SUM(งบดุลบัญชี!K19)</f>
        <v>191606.86</v>
      </c>
      <c r="E10" s="17" t="s">
        <v>52</v>
      </c>
      <c r="F10" s="15" t="s">
        <v>59</v>
      </c>
      <c r="G10" s="19"/>
      <c r="H10" s="64">
        <v>110604</v>
      </c>
      <c r="I10" s="63">
        <f>SUM(งบดุลบัญชี!Q19)</f>
        <v>191626.86</v>
      </c>
      <c r="J10" s="17" t="s">
        <v>52</v>
      </c>
      <c r="K10" s="15" t="s">
        <v>59</v>
      </c>
      <c r="L10" s="19"/>
      <c r="M10" s="64">
        <v>110604</v>
      </c>
      <c r="N10" s="63">
        <f>SUM(งบดุลบัญชี!W19)</f>
        <v>191626.86</v>
      </c>
      <c r="O10" s="17" t="s">
        <v>52</v>
      </c>
      <c r="P10" s="15" t="s">
        <v>59</v>
      </c>
      <c r="Q10" s="19"/>
      <c r="R10" s="16"/>
      <c r="S10" s="64">
        <v>110604</v>
      </c>
      <c r="T10" s="63">
        <f>SUM(งบดุลบัญชี!AC19)</f>
        <v>191626.86</v>
      </c>
      <c r="U10" s="17" t="s">
        <v>52</v>
      </c>
      <c r="V10" s="15" t="s">
        <v>59</v>
      </c>
      <c r="W10" s="19"/>
      <c r="X10" s="16"/>
      <c r="Y10" s="64">
        <v>110604</v>
      </c>
      <c r="Z10" s="63">
        <f>SUM(งบดุลบัญชี!AI19)</f>
        <v>191626.86</v>
      </c>
      <c r="AA10" s="17" t="s">
        <v>52</v>
      </c>
      <c r="AB10" s="15" t="s">
        <v>59</v>
      </c>
      <c r="AC10" s="19"/>
      <c r="AD10" s="64">
        <v>110604</v>
      </c>
      <c r="AE10" s="213">
        <f>SUM(งบดุลบัญชี!AO19)</f>
        <v>191626.86</v>
      </c>
      <c r="AF10" s="75" t="s">
        <v>52</v>
      </c>
      <c r="AG10" s="15" t="s">
        <v>59</v>
      </c>
      <c r="AH10" s="19"/>
      <c r="AI10" s="64">
        <v>110604</v>
      </c>
      <c r="AJ10" s="213">
        <f>+งบดุลบัญชี!AU19</f>
        <v>191626.86</v>
      </c>
      <c r="AK10" s="75" t="s">
        <v>52</v>
      </c>
      <c r="AL10" s="15" t="s">
        <v>59</v>
      </c>
      <c r="AM10" s="19"/>
      <c r="AN10" s="64">
        <v>110604</v>
      </c>
      <c r="AO10" s="213">
        <f>+งบดุลบัญชี!BA19</f>
        <v>191626.86</v>
      </c>
      <c r="AP10" s="75" t="s">
        <v>52</v>
      </c>
      <c r="AQ10" s="15" t="s">
        <v>59</v>
      </c>
      <c r="AR10" s="19"/>
      <c r="AS10" s="64">
        <v>110604</v>
      </c>
      <c r="AT10" s="213">
        <f>+งบดุลบัญชี!BM19</f>
        <v>191626.86</v>
      </c>
      <c r="AU10" s="75" t="s">
        <v>52</v>
      </c>
      <c r="AV10" s="15" t="s">
        <v>59</v>
      </c>
      <c r="AW10" s="19"/>
      <c r="AX10" s="64">
        <v>110604</v>
      </c>
      <c r="AY10" s="213">
        <f>+งบดุลบัญชี!BS19</f>
        <v>191626.86</v>
      </c>
      <c r="AZ10" s="75" t="s">
        <v>52</v>
      </c>
      <c r="BA10" s="15" t="s">
        <v>59</v>
      </c>
      <c r="BB10" s="19"/>
      <c r="BC10" s="64">
        <v>110604</v>
      </c>
      <c r="BD10" s="213">
        <f>+งบดุลบัญชี!BY19</f>
        <v>191626.86</v>
      </c>
      <c r="BE10" s="75" t="s">
        <v>52</v>
      </c>
      <c r="BF10" s="15" t="s">
        <v>59</v>
      </c>
      <c r="BG10" s="19"/>
      <c r="BH10" s="64">
        <v>110604</v>
      </c>
      <c r="BI10" s="213">
        <f>+งบดุลบัญชี!CC19</f>
        <v>191626.86</v>
      </c>
      <c r="BJ10" s="75" t="s">
        <v>52</v>
      </c>
    </row>
    <row r="11" spans="1:62" ht="15.75">
      <c r="A11" s="15" t="s">
        <v>55</v>
      </c>
      <c r="B11" s="19"/>
      <c r="C11" s="64">
        <v>110605</v>
      </c>
      <c r="D11" s="63">
        <f>SUM(งบดุลบัญชี!K20)</f>
        <v>7000</v>
      </c>
      <c r="E11" s="17"/>
      <c r="F11" s="15" t="s">
        <v>55</v>
      </c>
      <c r="G11" s="19"/>
      <c r="H11" s="64">
        <v>110605</v>
      </c>
      <c r="I11" s="63">
        <f>SUM(งบดุลบัญชี!Q20)</f>
        <v>12100</v>
      </c>
      <c r="J11" s="17"/>
      <c r="K11" s="15" t="s">
        <v>55</v>
      </c>
      <c r="L11" s="19"/>
      <c r="M11" s="64">
        <v>110605</v>
      </c>
      <c r="N11" s="63">
        <f>SUM(งบดุลบัญชี!W20)</f>
        <v>7200</v>
      </c>
      <c r="O11" s="17"/>
      <c r="P11" s="15" t="s">
        <v>55</v>
      </c>
      <c r="Q11" s="19"/>
      <c r="R11" s="16"/>
      <c r="S11" s="64">
        <v>110605</v>
      </c>
      <c r="T11" s="63">
        <f>SUM(งบดุลบัญชี!AC20)</f>
        <v>37860</v>
      </c>
      <c r="U11" s="17"/>
      <c r="V11" s="15" t="s">
        <v>55</v>
      </c>
      <c r="W11" s="19"/>
      <c r="X11" s="16"/>
      <c r="Y11" s="64">
        <v>110605</v>
      </c>
      <c r="Z11" s="63">
        <f>SUM(งบดุลบัญชี!AI20)</f>
        <v>26060</v>
      </c>
      <c r="AA11" s="17"/>
      <c r="AB11" s="15" t="s">
        <v>55</v>
      </c>
      <c r="AC11" s="19"/>
      <c r="AD11" s="64">
        <v>110605</v>
      </c>
      <c r="AE11" s="213">
        <f>SUM(งบดุลบัญชี!AO20)</f>
        <v>42828</v>
      </c>
      <c r="AF11" s="75"/>
      <c r="AG11" s="15" t="s">
        <v>55</v>
      </c>
      <c r="AH11" s="19"/>
      <c r="AI11" s="64">
        <v>110605</v>
      </c>
      <c r="AJ11" s="213">
        <f>+งบดุลบัญชี!AU20</f>
        <v>0</v>
      </c>
      <c r="AK11" s="75"/>
      <c r="AL11" s="15" t="s">
        <v>55</v>
      </c>
      <c r="AM11" s="19"/>
      <c r="AN11" s="64">
        <v>110605</v>
      </c>
      <c r="AO11" s="213">
        <f>+งบดุลบัญชี!BA20</f>
        <v>0</v>
      </c>
      <c r="AP11" s="75"/>
      <c r="AQ11" s="15" t="s">
        <v>55</v>
      </c>
      <c r="AR11" s="19"/>
      <c r="AS11" s="64">
        <v>110605</v>
      </c>
      <c r="AT11" s="213">
        <f>+งบดุลบัญชี!BM20</f>
        <v>0</v>
      </c>
      <c r="AU11" s="75"/>
      <c r="AV11" s="15" t="s">
        <v>55</v>
      </c>
      <c r="AW11" s="19"/>
      <c r="AX11" s="64">
        <v>110605</v>
      </c>
      <c r="AY11" s="213">
        <f>+งบดุลบัญชี!BS20</f>
        <v>0</v>
      </c>
      <c r="AZ11" s="75"/>
      <c r="BA11" s="15" t="s">
        <v>55</v>
      </c>
      <c r="BB11" s="19"/>
      <c r="BC11" s="64">
        <v>110605</v>
      </c>
      <c r="BD11" s="213">
        <f>+งบดุลบัญชี!BY20</f>
        <v>0</v>
      </c>
      <c r="BE11" s="75"/>
      <c r="BF11" s="15" t="s">
        <v>55</v>
      </c>
      <c r="BG11" s="19"/>
      <c r="BH11" s="64">
        <v>110605</v>
      </c>
      <c r="BI11" s="213">
        <f>+งบดุลบัญชี!CD20</f>
        <v>0</v>
      </c>
      <c r="BJ11" s="75"/>
    </row>
    <row r="12" spans="1:62" ht="15.75">
      <c r="A12" s="15" t="s">
        <v>54</v>
      </c>
      <c r="B12" s="19"/>
      <c r="C12" s="64">
        <v>110606</v>
      </c>
      <c r="D12" s="63">
        <f>SUM(งบดุลบัญชี!K21)</f>
        <v>895800</v>
      </c>
      <c r="E12" s="17"/>
      <c r="F12" s="15" t="s">
        <v>54</v>
      </c>
      <c r="G12" s="19"/>
      <c r="H12" s="64">
        <v>110606</v>
      </c>
      <c r="I12" s="63">
        <f>SUM(งบดุลบัญชี!Q21)</f>
        <v>6000</v>
      </c>
      <c r="J12" s="17"/>
      <c r="K12" s="15" t="s">
        <v>54</v>
      </c>
      <c r="L12" s="19"/>
      <c r="M12" s="64">
        <v>110606</v>
      </c>
      <c r="N12" s="63">
        <f>SUM(งบดุลบัญชี!W21)</f>
        <v>6000</v>
      </c>
      <c r="O12" s="17"/>
      <c r="P12" s="15" t="s">
        <v>54</v>
      </c>
      <c r="Q12" s="19"/>
      <c r="R12" s="16"/>
      <c r="S12" s="64">
        <v>110606</v>
      </c>
      <c r="T12" s="63">
        <f>SUM(งบดุลบัญชี!AC21)</f>
        <v>103116</v>
      </c>
      <c r="U12" s="17"/>
      <c r="V12" s="15" t="s">
        <v>54</v>
      </c>
      <c r="W12" s="19"/>
      <c r="X12" s="16"/>
      <c r="Y12" s="64">
        <v>110606</v>
      </c>
      <c r="Z12" s="63">
        <f>SUM(งบดุลบัญชี!AI21)</f>
        <v>177600</v>
      </c>
      <c r="AA12" s="17"/>
      <c r="AB12" s="15" t="s">
        <v>54</v>
      </c>
      <c r="AC12" s="19"/>
      <c r="AD12" s="64">
        <v>110606</v>
      </c>
      <c r="AE12" s="213">
        <f>SUM(งบดุลบัญชี!AO21)</f>
        <v>0</v>
      </c>
      <c r="AF12" s="75"/>
      <c r="AG12" s="15" t="s">
        <v>54</v>
      </c>
      <c r="AH12" s="19"/>
      <c r="AI12" s="64">
        <v>110606</v>
      </c>
      <c r="AJ12" s="213">
        <f>+งบดุลบัญชี!AU21</f>
        <v>0</v>
      </c>
      <c r="AK12" s="75"/>
      <c r="AL12" s="15" t="s">
        <v>54</v>
      </c>
      <c r="AM12" s="19"/>
      <c r="AN12" s="64">
        <v>110606</v>
      </c>
      <c r="AO12" s="213">
        <f>+งบดุลบัญชี!BA21</f>
        <v>0</v>
      </c>
      <c r="AP12" s="75"/>
      <c r="AQ12" s="15" t="s">
        <v>54</v>
      </c>
      <c r="AR12" s="19"/>
      <c r="AS12" s="64">
        <v>110606</v>
      </c>
      <c r="AT12" s="213">
        <f>+งบดุลบัญชี!BM21</f>
        <v>0</v>
      </c>
      <c r="AU12" s="75"/>
      <c r="AV12" s="15" t="s">
        <v>54</v>
      </c>
      <c r="AW12" s="19"/>
      <c r="AX12" s="64">
        <v>110606</v>
      </c>
      <c r="AY12" s="213">
        <f>+งบดุลบัญชี!BS21</f>
        <v>0</v>
      </c>
      <c r="AZ12" s="75"/>
      <c r="BA12" s="15" t="s">
        <v>54</v>
      </c>
      <c r="BB12" s="19"/>
      <c r="BC12" s="64">
        <v>110606</v>
      </c>
      <c r="BD12" s="213">
        <f>+งบดุลบัญชี!BY21</f>
        <v>0</v>
      </c>
      <c r="BE12" s="75"/>
      <c r="BF12" s="15" t="s">
        <v>54</v>
      </c>
      <c r="BG12" s="19"/>
      <c r="BH12" s="64">
        <v>110606</v>
      </c>
      <c r="BI12" s="213">
        <f>+งบดุลบัญชี!CD21</f>
        <v>0</v>
      </c>
      <c r="BJ12" s="75"/>
    </row>
    <row r="13" spans="1:62" ht="15.75">
      <c r="A13" s="15" t="s">
        <v>335</v>
      </c>
      <c r="B13" s="19"/>
      <c r="C13" s="64">
        <v>110609</v>
      </c>
      <c r="D13" s="63">
        <f>+งบดุลบัญชี!K23</f>
        <v>0</v>
      </c>
      <c r="E13" s="17"/>
      <c r="F13" s="15" t="s">
        <v>335</v>
      </c>
      <c r="G13" s="19"/>
      <c r="H13" s="64">
        <v>110609</v>
      </c>
      <c r="I13" s="63">
        <f>+งบดุลบัญชี!Q23</f>
        <v>0</v>
      </c>
      <c r="J13" s="17"/>
      <c r="K13" s="15" t="s">
        <v>335</v>
      </c>
      <c r="L13" s="19"/>
      <c r="M13" s="64">
        <v>110609</v>
      </c>
      <c r="N13" s="63">
        <f>+งบดุลบัญชี!W23</f>
        <v>0</v>
      </c>
      <c r="O13" s="17"/>
      <c r="P13" s="15" t="s">
        <v>335</v>
      </c>
      <c r="Q13" s="19"/>
      <c r="R13" s="64">
        <v>110609</v>
      </c>
      <c r="S13" s="64">
        <v>110609</v>
      </c>
      <c r="T13" s="63">
        <f>+งบดุลบัญชี!AC23</f>
        <v>0</v>
      </c>
      <c r="U13" s="17"/>
      <c r="V13" s="15" t="s">
        <v>335</v>
      </c>
      <c r="W13" s="19"/>
      <c r="X13" s="64">
        <v>110609</v>
      </c>
      <c r="Y13" s="64">
        <v>110609</v>
      </c>
      <c r="Z13" s="63">
        <f>+งบดุลบัญชี!AI23</f>
        <v>0</v>
      </c>
      <c r="AA13" s="17"/>
      <c r="AB13" s="15" t="s">
        <v>335</v>
      </c>
      <c r="AC13" s="19"/>
      <c r="AD13" s="64">
        <v>110609</v>
      </c>
      <c r="AE13" s="213">
        <f>+งบดุลบัญชี!AO23</f>
        <v>0</v>
      </c>
      <c r="AF13" s="75"/>
      <c r="AG13" s="15" t="s">
        <v>335</v>
      </c>
      <c r="AH13" s="19"/>
      <c r="AI13" s="64">
        <v>110609</v>
      </c>
      <c r="AJ13" s="213">
        <f>+งบดุลบัญชี!AU23</f>
        <v>0</v>
      </c>
      <c r="AK13" s="75"/>
      <c r="AL13" s="15" t="s">
        <v>335</v>
      </c>
      <c r="AM13" s="19"/>
      <c r="AN13" s="64">
        <v>110609</v>
      </c>
      <c r="AO13" s="213">
        <f>+งบดุลบัญชี!BA23</f>
        <v>70000</v>
      </c>
      <c r="AP13" s="75"/>
      <c r="AQ13" s="15" t="s">
        <v>335</v>
      </c>
      <c r="AR13" s="19"/>
      <c r="AS13" s="64">
        <v>110609</v>
      </c>
      <c r="AT13" s="213">
        <f>+งบดุลบัญชี!BM23</f>
        <v>70000</v>
      </c>
      <c r="AU13" s="75"/>
      <c r="AV13" s="15" t="s">
        <v>335</v>
      </c>
      <c r="AW13" s="19"/>
      <c r="AX13" s="64">
        <v>110609</v>
      </c>
      <c r="AY13" s="213">
        <f>+งบดุลบัญชี!BS23</f>
        <v>70000</v>
      </c>
      <c r="AZ13" s="75"/>
      <c r="BA13" s="15" t="s">
        <v>335</v>
      </c>
      <c r="BB13" s="19"/>
      <c r="BC13" s="64">
        <v>110609</v>
      </c>
      <c r="BD13" s="213">
        <f>+งบดุลบัญชี!BY23</f>
        <v>70000</v>
      </c>
      <c r="BE13" s="75"/>
      <c r="BF13" s="15" t="s">
        <v>335</v>
      </c>
      <c r="BG13" s="19"/>
      <c r="BH13" s="64">
        <v>110609</v>
      </c>
      <c r="BI13" s="213">
        <f>+งบดุลบัญชี!CD23</f>
        <v>0</v>
      </c>
      <c r="BJ13" s="75"/>
    </row>
    <row r="14" spans="1:62" ht="15.75">
      <c r="A14" s="15"/>
      <c r="B14" s="19"/>
      <c r="C14" s="64"/>
      <c r="D14" s="63"/>
      <c r="E14" s="17"/>
      <c r="F14" s="15"/>
      <c r="G14" s="19"/>
      <c r="H14" s="64"/>
      <c r="I14" s="63"/>
      <c r="J14" s="17"/>
      <c r="K14" s="15"/>
      <c r="L14" s="19"/>
      <c r="M14" s="64"/>
      <c r="N14" s="63"/>
      <c r="O14" s="17"/>
      <c r="P14" s="15"/>
      <c r="Q14" s="19"/>
      <c r="R14" s="403"/>
      <c r="S14" s="64"/>
      <c r="T14" s="63"/>
      <c r="U14" s="17"/>
      <c r="V14" s="15"/>
      <c r="W14" s="19"/>
      <c r="X14" s="403"/>
      <c r="Y14" s="64"/>
      <c r="Z14" s="63"/>
      <c r="AA14" s="17"/>
      <c r="AB14" s="15"/>
      <c r="AC14" s="19"/>
      <c r="AD14" s="64"/>
      <c r="AE14" s="213"/>
      <c r="AF14" s="75"/>
      <c r="AG14" s="15" t="s">
        <v>576</v>
      </c>
      <c r="AH14" s="19"/>
      <c r="AI14" s="64">
        <v>110610</v>
      </c>
      <c r="AJ14" s="213">
        <f>+งบดุลบัญชี!AU24</f>
        <v>231294.61</v>
      </c>
      <c r="AK14" s="75"/>
      <c r="AL14" s="15" t="s">
        <v>576</v>
      </c>
      <c r="AM14" s="19"/>
      <c r="AN14" s="64">
        <v>110610</v>
      </c>
      <c r="AO14" s="213">
        <f>+งบดุลบัญชี!BA24</f>
        <v>231294.61</v>
      </c>
      <c r="AP14" s="75"/>
      <c r="AQ14" s="15"/>
      <c r="AR14" s="19"/>
      <c r="AS14" s="64"/>
      <c r="AT14" s="213"/>
      <c r="AU14" s="75"/>
      <c r="AV14" s="15"/>
      <c r="AW14" s="19"/>
      <c r="AX14" s="64"/>
      <c r="AY14" s="213"/>
      <c r="AZ14" s="75"/>
      <c r="BA14" s="15"/>
      <c r="BB14" s="19"/>
      <c r="BC14" s="64"/>
      <c r="BD14" s="213"/>
      <c r="BE14" s="75"/>
      <c r="BF14" s="15"/>
      <c r="BG14" s="19"/>
      <c r="BH14" s="64"/>
      <c r="BI14" s="213"/>
      <c r="BJ14" s="75"/>
    </row>
    <row r="15" spans="1:62" ht="15.75">
      <c r="A15" s="15" t="s">
        <v>81</v>
      </c>
      <c r="B15" s="19"/>
      <c r="C15" s="64">
        <v>120200</v>
      </c>
      <c r="D15" s="63">
        <f>SUM(งบดุลบัญชี!K22)</f>
        <v>2456463.52</v>
      </c>
      <c r="E15" s="17"/>
      <c r="F15" s="15" t="s">
        <v>81</v>
      </c>
      <c r="G15" s="19"/>
      <c r="H15" s="64">
        <v>120200</v>
      </c>
      <c r="I15" s="63">
        <f>SUM(งบดุลบัญชี!Q22)</f>
        <v>2456463.52</v>
      </c>
      <c r="J15" s="17"/>
      <c r="K15" s="15" t="s">
        <v>81</v>
      </c>
      <c r="L15" s="19"/>
      <c r="M15" s="64">
        <v>120200</v>
      </c>
      <c r="N15" s="63">
        <f>SUM(งบดุลบัญชี!W22)</f>
        <v>2456463.52</v>
      </c>
      <c r="O15" s="17"/>
      <c r="P15" s="15" t="s">
        <v>81</v>
      </c>
      <c r="Q15" s="19"/>
      <c r="R15" s="16"/>
      <c r="S15" s="64">
        <v>120200</v>
      </c>
      <c r="T15" s="63">
        <f>SUM(งบดุลบัญชี!AC22)</f>
        <v>2456463.52</v>
      </c>
      <c r="U15" s="17"/>
      <c r="V15" s="15" t="s">
        <v>81</v>
      </c>
      <c r="W15" s="19"/>
      <c r="X15" s="16"/>
      <c r="Y15" s="64">
        <v>120200</v>
      </c>
      <c r="Z15" s="63">
        <f>SUM(งบดุลบัญชี!AI22)</f>
        <v>2456463.52</v>
      </c>
      <c r="AA15" s="17"/>
      <c r="AB15" s="15" t="s">
        <v>81</v>
      </c>
      <c r="AC15" s="19"/>
      <c r="AD15" s="64">
        <v>120200</v>
      </c>
      <c r="AE15" s="213">
        <f>SUM(งบดุลบัญชี!AO22)</f>
        <v>2456463.52</v>
      </c>
      <c r="AF15" s="75"/>
      <c r="AG15" s="15" t="s">
        <v>81</v>
      </c>
      <c r="AH15" s="19"/>
      <c r="AI15" s="64">
        <v>120200</v>
      </c>
      <c r="AJ15" s="213">
        <f>+งบดุลบัญชี!AU22</f>
        <v>2628811.35</v>
      </c>
      <c r="AK15" s="75"/>
      <c r="AL15" s="15" t="s">
        <v>81</v>
      </c>
      <c r="AM15" s="19"/>
      <c r="AN15" s="64">
        <v>120200</v>
      </c>
      <c r="AO15" s="213">
        <f>+งบดุลบัญชี!BA22</f>
        <v>2628811.35</v>
      </c>
      <c r="AP15" s="75"/>
      <c r="AQ15" s="15" t="s">
        <v>81</v>
      </c>
      <c r="AR15" s="19"/>
      <c r="AS15" s="64">
        <v>120200</v>
      </c>
      <c r="AT15" s="213">
        <f>+งบดุลบัญชี!BG22</f>
        <v>2628811.35</v>
      </c>
      <c r="AU15" s="75"/>
      <c r="AV15" s="15" t="s">
        <v>81</v>
      </c>
      <c r="AW15" s="19"/>
      <c r="AX15" s="64">
        <v>120200</v>
      </c>
      <c r="AY15" s="213">
        <f>+งบดุลบัญชี!BS22</f>
        <v>2628811.35</v>
      </c>
      <c r="AZ15" s="75"/>
      <c r="BA15" s="15" t="s">
        <v>81</v>
      </c>
      <c r="BB15" s="19"/>
      <c r="BC15" s="64">
        <v>120200</v>
      </c>
      <c r="BD15" s="213">
        <f>+งบดุลบัญชี!BY22</f>
        <v>2628811.35</v>
      </c>
      <c r="BE15" s="75"/>
      <c r="BF15" s="15" t="s">
        <v>81</v>
      </c>
      <c r="BG15" s="19"/>
      <c r="BH15" s="64">
        <v>120200</v>
      </c>
      <c r="BI15" s="213">
        <f>+งบดุลบัญชี!CC22</f>
        <v>2628811.35</v>
      </c>
      <c r="BJ15" s="75"/>
    </row>
    <row r="16" spans="1:62" ht="15.75">
      <c r="A16" s="15" t="s">
        <v>11</v>
      </c>
      <c r="B16" s="19"/>
      <c r="C16" s="64">
        <v>510000</v>
      </c>
      <c r="D16" s="17">
        <f>SUM(งบดุลบัญชี!K118)</f>
        <v>16514</v>
      </c>
      <c r="E16" s="17"/>
      <c r="F16" s="15" t="s">
        <v>11</v>
      </c>
      <c r="G16" s="19"/>
      <c r="H16" s="64">
        <v>510000</v>
      </c>
      <c r="I16" s="17">
        <f>+งบดุลบัญชี!Q118+งบดุลบัญชี!Q143</f>
        <v>1827354</v>
      </c>
      <c r="J16" s="17"/>
      <c r="K16" s="15" t="s">
        <v>11</v>
      </c>
      <c r="L16" s="19"/>
      <c r="M16" s="64">
        <v>510000</v>
      </c>
      <c r="N16" s="17">
        <f>SUM(งบดุลบัญชี!W118+งบดุลบัญชี!W143)</f>
        <v>2767746</v>
      </c>
      <c r="O16" s="17"/>
      <c r="P16" s="15" t="s">
        <v>11</v>
      </c>
      <c r="Q16" s="19"/>
      <c r="R16" s="16"/>
      <c r="S16" s="64">
        <v>510000</v>
      </c>
      <c r="T16" s="17">
        <f>SUM(งบดุลบัญชี!AC118+งบดุลบัญชี!AC143)</f>
        <v>3985843</v>
      </c>
      <c r="U16" s="17"/>
      <c r="V16" s="15" t="s">
        <v>11</v>
      </c>
      <c r="W16" s="19"/>
      <c r="X16" s="16"/>
      <c r="Y16" s="64">
        <v>510000</v>
      </c>
      <c r="Z16" s="17">
        <f>+งบดุลบัญชี!AI118+งบดุลบัญชี!AI143</f>
        <v>4804665</v>
      </c>
      <c r="AA16" s="17"/>
      <c r="AB16" s="15" t="s">
        <v>11</v>
      </c>
      <c r="AC16" s="19"/>
      <c r="AD16" s="64">
        <v>510000</v>
      </c>
      <c r="AE16" s="75">
        <f>+งบดุลบัญชี!AO118+งบดุลบัญชี!AO143</f>
        <v>5895816</v>
      </c>
      <c r="AF16" s="75"/>
      <c r="AG16" s="15" t="s">
        <v>11</v>
      </c>
      <c r="AH16" s="19"/>
      <c r="AI16" s="64">
        <v>510000</v>
      </c>
      <c r="AJ16" s="75">
        <f>+งบดุลบัญชี!AU118+งบดุลบัญชี!AU143</f>
        <v>6930122</v>
      </c>
      <c r="AK16" s="75"/>
      <c r="AL16" s="15" t="s">
        <v>11</v>
      </c>
      <c r="AM16" s="19"/>
      <c r="AN16" s="64">
        <v>510000</v>
      </c>
      <c r="AO16" s="75">
        <f>+งบดุลบัญชี!BA118+งบดุลบัญชี!BA143</f>
        <v>8354631.5</v>
      </c>
      <c r="AP16" s="75"/>
      <c r="AQ16" s="15" t="s">
        <v>11</v>
      </c>
      <c r="AR16" s="19"/>
      <c r="AS16" s="64">
        <v>510000</v>
      </c>
      <c r="AT16" s="75">
        <f>+งบดุลบัญชี!BM118</f>
        <v>842093.5</v>
      </c>
      <c r="AU16" s="75"/>
      <c r="AV16" s="15" t="s">
        <v>11</v>
      </c>
      <c r="AW16" s="19"/>
      <c r="AX16" s="64">
        <v>510000</v>
      </c>
      <c r="AY16" s="75">
        <f>+งบดุลบัญชี!BS118</f>
        <v>842093.5</v>
      </c>
      <c r="AZ16" s="75"/>
      <c r="BA16" s="15" t="s">
        <v>11</v>
      </c>
      <c r="BB16" s="19"/>
      <c r="BC16" s="64">
        <v>510000</v>
      </c>
      <c r="BD16" s="75">
        <f>+งบดุลบัญชี!BY118</f>
        <v>842093.5</v>
      </c>
      <c r="BE16" s="75"/>
      <c r="BF16" s="15" t="s">
        <v>297</v>
      </c>
      <c r="BG16" s="19"/>
      <c r="BH16" s="64">
        <v>230100</v>
      </c>
      <c r="BI16" s="213"/>
      <c r="BJ16" s="213">
        <f>+งบดุลบัญชี!CD33</f>
        <v>1507378.5499999998</v>
      </c>
    </row>
    <row r="17" spans="1:62" ht="15.75">
      <c r="A17" s="68" t="s">
        <v>119</v>
      </c>
      <c r="B17" s="69"/>
      <c r="C17" s="64">
        <v>521000</v>
      </c>
      <c r="D17" s="17">
        <f>SUM(งบดุลบัญชี!K127)</f>
        <v>213734</v>
      </c>
      <c r="E17" s="17"/>
      <c r="F17" s="68" t="s">
        <v>119</v>
      </c>
      <c r="G17" s="69"/>
      <c r="H17" s="64">
        <v>521000</v>
      </c>
      <c r="I17" s="17">
        <f>SUM(งบดุลบัญชี!Q127)</f>
        <v>432454</v>
      </c>
      <c r="J17" s="17"/>
      <c r="K17" s="68" t="s">
        <v>119</v>
      </c>
      <c r="L17" s="69"/>
      <c r="M17" s="64">
        <v>521000</v>
      </c>
      <c r="N17" s="17">
        <f>SUM(งบดุลบัญชี!W127)</f>
        <v>651174</v>
      </c>
      <c r="O17" s="17"/>
      <c r="P17" s="68" t="s">
        <v>119</v>
      </c>
      <c r="Q17" s="69"/>
      <c r="R17" s="64">
        <v>521000</v>
      </c>
      <c r="S17" s="64">
        <v>521000</v>
      </c>
      <c r="T17" s="17">
        <f>SUM(งบดุลบัญชี!AC127)</f>
        <v>869894</v>
      </c>
      <c r="U17" s="17"/>
      <c r="V17" s="68" t="s">
        <v>119</v>
      </c>
      <c r="W17" s="69"/>
      <c r="X17" s="64">
        <v>521000</v>
      </c>
      <c r="Y17" s="64">
        <v>521000</v>
      </c>
      <c r="Z17" s="17">
        <f>SUM(งบดุลบัญชี!AI127)</f>
        <v>1088614</v>
      </c>
      <c r="AA17" s="17"/>
      <c r="AB17" s="68" t="s">
        <v>119</v>
      </c>
      <c r="AC17" s="69"/>
      <c r="AD17" s="64">
        <v>521000</v>
      </c>
      <c r="AE17" s="75">
        <f>SUM(งบดุลบัญชี!AO127)</f>
        <v>1307334</v>
      </c>
      <c r="AF17" s="75"/>
      <c r="AG17" s="68" t="s">
        <v>119</v>
      </c>
      <c r="AH17" s="69"/>
      <c r="AI17" s="64">
        <v>521000</v>
      </c>
      <c r="AJ17" s="75">
        <f>+งบดุลบัญชี!AU127</f>
        <v>1526054</v>
      </c>
      <c r="AK17" s="75"/>
      <c r="AL17" s="68" t="s">
        <v>119</v>
      </c>
      <c r="AM17" s="69"/>
      <c r="AN17" s="64">
        <v>521000</v>
      </c>
      <c r="AO17" s="75">
        <f>+งบดุลบัญชี!BA127</f>
        <v>1744774</v>
      </c>
      <c r="AP17" s="75"/>
      <c r="AQ17" s="68" t="s">
        <v>119</v>
      </c>
      <c r="AR17" s="69"/>
      <c r="AS17" s="64">
        <v>521000</v>
      </c>
      <c r="AT17" s="75">
        <f>+งบดุลบัญชี!BM127</f>
        <v>1744774</v>
      </c>
      <c r="AU17" s="75"/>
      <c r="AV17" s="68" t="s">
        <v>119</v>
      </c>
      <c r="AW17" s="69"/>
      <c r="AX17" s="64">
        <v>521000</v>
      </c>
      <c r="AY17" s="75">
        <f>+งบดุลบัญชี!BS127</f>
        <v>1744774</v>
      </c>
      <c r="AZ17" s="75"/>
      <c r="BA17" s="68" t="s">
        <v>119</v>
      </c>
      <c r="BB17" s="69"/>
      <c r="BC17" s="64">
        <v>521000</v>
      </c>
      <c r="BD17" s="75">
        <f>+งบดุลบัญชี!BY127</f>
        <v>1744774</v>
      </c>
      <c r="BE17" s="75"/>
      <c r="BF17" s="15" t="s">
        <v>89</v>
      </c>
      <c r="BG17" s="19"/>
      <c r="BH17" s="64">
        <v>210500</v>
      </c>
      <c r="BI17" s="213"/>
      <c r="BJ17" s="75">
        <f>+งบดุลบัญชี!CE8</f>
        <v>0</v>
      </c>
    </row>
    <row r="18" spans="1:62" ht="15.75">
      <c r="A18" s="68" t="s">
        <v>118</v>
      </c>
      <c r="B18" s="69"/>
      <c r="C18" s="64">
        <v>522000</v>
      </c>
      <c r="D18" s="17">
        <f>SUM(งบดุลบัญชี!K128)</f>
        <v>333023</v>
      </c>
      <c r="E18" s="17"/>
      <c r="F18" s="68" t="s">
        <v>118</v>
      </c>
      <c r="G18" s="69"/>
      <c r="H18" s="64">
        <v>522000</v>
      </c>
      <c r="I18" s="17">
        <f>+งบดุลบัญชี!Q128+งบดุลบัญชี!Q150</f>
        <v>827450</v>
      </c>
      <c r="J18" s="17"/>
      <c r="K18" s="68" t="s">
        <v>118</v>
      </c>
      <c r="L18" s="69"/>
      <c r="M18" s="64">
        <v>522000</v>
      </c>
      <c r="N18" s="17">
        <f>SUM(งบดุลบัญชี!W128+งบดุลบัญชี!W150)</f>
        <v>1266482.23</v>
      </c>
      <c r="O18" s="17"/>
      <c r="P18" s="68" t="s">
        <v>118</v>
      </c>
      <c r="Q18" s="69"/>
      <c r="R18" s="64">
        <v>522000</v>
      </c>
      <c r="S18" s="64">
        <v>522000</v>
      </c>
      <c r="T18" s="17">
        <f>SUM(งบดุลบัญชี!AC128+งบดุลบัญชี!AC150)</f>
        <v>1633581.23</v>
      </c>
      <c r="U18" s="17"/>
      <c r="V18" s="68" t="s">
        <v>118</v>
      </c>
      <c r="W18" s="69"/>
      <c r="X18" s="64">
        <v>522000</v>
      </c>
      <c r="Y18" s="64">
        <v>522000</v>
      </c>
      <c r="Z18" s="17">
        <f>SUM(งบดุลบัญชี!AI128)+งบดุลบัญชี!AI150</f>
        <v>2133492.23</v>
      </c>
      <c r="AA18" s="17"/>
      <c r="AB18" s="68" t="s">
        <v>118</v>
      </c>
      <c r="AC18" s="69"/>
      <c r="AD18" s="64">
        <v>522000</v>
      </c>
      <c r="AE18" s="75">
        <f>+งบดุลบัญชี!AO128+งบดุลบัญชี!AO150</f>
        <v>2563037.23</v>
      </c>
      <c r="AF18" s="75"/>
      <c r="AG18" s="68" t="s">
        <v>118</v>
      </c>
      <c r="AH18" s="69"/>
      <c r="AI18" s="64">
        <v>522000</v>
      </c>
      <c r="AJ18" s="75">
        <f>+งบดุลบัญชี!AU128+งบดุลบัญชี!AU150</f>
        <v>3056312.23</v>
      </c>
      <c r="AK18" s="75"/>
      <c r="AL18" s="68" t="s">
        <v>118</v>
      </c>
      <c r="AM18" s="69"/>
      <c r="AN18" s="64">
        <v>522000</v>
      </c>
      <c r="AO18" s="75">
        <f>+งบดุลบัญชี!BA128+งบดุลบัญชี!BA150</f>
        <v>3539417.23</v>
      </c>
      <c r="AP18" s="75"/>
      <c r="AQ18" s="68" t="s">
        <v>118</v>
      </c>
      <c r="AR18" s="69"/>
      <c r="AS18" s="64">
        <v>522000</v>
      </c>
      <c r="AT18" s="75">
        <f>+งบดุลบัญชี!BM128</f>
        <v>2909175.23</v>
      </c>
      <c r="AU18" s="75"/>
      <c r="AV18" s="68" t="s">
        <v>118</v>
      </c>
      <c r="AW18" s="69"/>
      <c r="AX18" s="64">
        <v>522000</v>
      </c>
      <c r="AY18" s="75">
        <f>+งบดุลบัญชี!BS128</f>
        <v>2909175.23</v>
      </c>
      <c r="AZ18" s="75"/>
      <c r="BA18" s="68" t="s">
        <v>118</v>
      </c>
      <c r="BB18" s="69"/>
      <c r="BC18" s="64">
        <v>522000</v>
      </c>
      <c r="BD18" s="75">
        <f>+งบดุลบัญชี!BY128</f>
        <v>2909175.23</v>
      </c>
      <c r="BE18" s="75"/>
      <c r="BF18" s="15" t="s">
        <v>90</v>
      </c>
      <c r="BG18" s="19"/>
      <c r="BH18" s="64">
        <v>300000</v>
      </c>
      <c r="BI18" s="213"/>
      <c r="BJ18" s="75">
        <f>+งบดุลบัญชี!CD46</f>
        <v>8320628.200000001</v>
      </c>
    </row>
    <row r="19" spans="1:62" ht="15.75">
      <c r="A19" s="15" t="s">
        <v>3</v>
      </c>
      <c r="B19" s="19"/>
      <c r="C19" s="64">
        <v>220400</v>
      </c>
      <c r="D19" s="17">
        <f>SUM(งบดุลบัญชี!K129)</f>
        <v>27285</v>
      </c>
      <c r="E19" s="17"/>
      <c r="F19" s="15" t="s">
        <v>3</v>
      </c>
      <c r="G19" s="19"/>
      <c r="H19" s="64">
        <v>220400</v>
      </c>
      <c r="I19" s="17">
        <f>SUM(งบดุลบัญชี!Q129)</f>
        <v>82320</v>
      </c>
      <c r="J19" s="17"/>
      <c r="K19" s="15" t="s">
        <v>3</v>
      </c>
      <c r="L19" s="19"/>
      <c r="M19" s="64">
        <v>220400</v>
      </c>
      <c r="N19" s="17">
        <f>SUM(งบดุลบัญชี!W129)</f>
        <v>113280</v>
      </c>
      <c r="O19" s="17"/>
      <c r="P19" s="15" t="s">
        <v>3</v>
      </c>
      <c r="Q19" s="19"/>
      <c r="R19" s="64">
        <v>220400</v>
      </c>
      <c r="S19" s="64">
        <v>220400</v>
      </c>
      <c r="T19" s="17">
        <f>SUM(งบดุลบัญชี!AC129)</f>
        <v>144240</v>
      </c>
      <c r="U19" s="17"/>
      <c r="V19" s="15" t="s">
        <v>3</v>
      </c>
      <c r="W19" s="19"/>
      <c r="X19" s="64">
        <v>220400</v>
      </c>
      <c r="Y19" s="64">
        <v>220400</v>
      </c>
      <c r="Z19" s="17">
        <f>SUM(งบดุลบัญชี!AI129)</f>
        <v>175200</v>
      </c>
      <c r="AA19" s="17"/>
      <c r="AB19" s="15" t="s">
        <v>3</v>
      </c>
      <c r="AC19" s="19"/>
      <c r="AD19" s="64">
        <v>220400</v>
      </c>
      <c r="AE19" s="75">
        <f>SUM(งบดุลบัญชี!AO129)</f>
        <v>206160</v>
      </c>
      <c r="AF19" s="75"/>
      <c r="AG19" s="15" t="s">
        <v>3</v>
      </c>
      <c r="AH19" s="19"/>
      <c r="AI19" s="64">
        <v>220400</v>
      </c>
      <c r="AJ19" s="75">
        <f>+งบดุลบัญชี!AU129</f>
        <v>237120</v>
      </c>
      <c r="AK19" s="75"/>
      <c r="AL19" s="15" t="s">
        <v>3</v>
      </c>
      <c r="AM19" s="19"/>
      <c r="AN19" s="64">
        <v>220400</v>
      </c>
      <c r="AO19" s="75">
        <f>+งบดุลบัญชี!BA129</f>
        <v>269220</v>
      </c>
      <c r="AP19" s="75"/>
      <c r="AQ19" s="15" t="s">
        <v>3</v>
      </c>
      <c r="AR19" s="19"/>
      <c r="AS19" s="64">
        <v>220400</v>
      </c>
      <c r="AT19" s="75">
        <f>+งบดุลบัญชี!BM129</f>
        <v>269220</v>
      </c>
      <c r="AU19" s="75"/>
      <c r="AV19" s="15" t="s">
        <v>3</v>
      </c>
      <c r="AW19" s="19"/>
      <c r="AX19" s="64">
        <v>220400</v>
      </c>
      <c r="AY19" s="75">
        <f>+งบดุลบัญชี!BS129</f>
        <v>269220</v>
      </c>
      <c r="AZ19" s="75"/>
      <c r="BA19" s="15" t="s">
        <v>3</v>
      </c>
      <c r="BB19" s="19"/>
      <c r="BC19" s="64">
        <v>220400</v>
      </c>
      <c r="BD19" s="75">
        <f>+งบดุลบัญชี!BY129</f>
        <v>269220</v>
      </c>
      <c r="BE19" s="75"/>
      <c r="BF19" s="15"/>
      <c r="BG19" s="19"/>
      <c r="BH19" s="64"/>
      <c r="BI19" s="75"/>
      <c r="BJ19" s="75"/>
    </row>
    <row r="20" spans="1:62" ht="15.75">
      <c r="A20" s="15" t="s">
        <v>4</v>
      </c>
      <c r="B20" s="19"/>
      <c r="C20" s="64">
        <v>220600</v>
      </c>
      <c r="D20" s="17">
        <f>SUM(งบดุลบัญชี!K130)</f>
        <v>172970</v>
      </c>
      <c r="E20" s="17"/>
      <c r="F20" s="15" t="s">
        <v>4</v>
      </c>
      <c r="G20" s="19"/>
      <c r="H20" s="64">
        <v>220600</v>
      </c>
      <c r="I20" s="17">
        <f>+งบดุลบัญชี!Q130+งบดุลบัญชี!Q151</f>
        <v>436430</v>
      </c>
      <c r="J20" s="17"/>
      <c r="K20" s="15" t="s">
        <v>4</v>
      </c>
      <c r="L20" s="19"/>
      <c r="M20" s="64">
        <v>220600</v>
      </c>
      <c r="N20" s="17">
        <f>SUM(งบดุลบัญชี!W130+งบดุลบัญชี!W151)</f>
        <v>656950</v>
      </c>
      <c r="O20" s="17"/>
      <c r="P20" s="15" t="s">
        <v>4</v>
      </c>
      <c r="Q20" s="19"/>
      <c r="R20" s="64">
        <v>220600</v>
      </c>
      <c r="S20" s="64">
        <v>220600</v>
      </c>
      <c r="T20" s="17">
        <f>SUM(งบดุลบัญชี!AC130+งบดุลบัญชี!AC151)</f>
        <v>861180</v>
      </c>
      <c r="U20" s="17"/>
      <c r="V20" s="15" t="s">
        <v>4</v>
      </c>
      <c r="W20" s="19"/>
      <c r="X20" s="64">
        <v>220600</v>
      </c>
      <c r="Y20" s="64">
        <v>220600</v>
      </c>
      <c r="Z20" s="17">
        <f>SUM(งบดุลบัญชี!AI130)+งบดุลบัญชี!AI151</f>
        <v>1126748</v>
      </c>
      <c r="AA20" s="17"/>
      <c r="AB20" s="15" t="s">
        <v>4</v>
      </c>
      <c r="AC20" s="19"/>
      <c r="AD20" s="64">
        <v>220600</v>
      </c>
      <c r="AE20" s="75">
        <f>+งบดุลบัญชี!AO130+งบดุลบัญชี!AO151</f>
        <v>1434448</v>
      </c>
      <c r="AF20" s="75"/>
      <c r="AG20" s="15" t="s">
        <v>4</v>
      </c>
      <c r="AH20" s="19"/>
      <c r="AI20" s="64">
        <v>220600</v>
      </c>
      <c r="AJ20" s="75">
        <f>+งบดุลบัญชี!AU130+งบดุลบัญชี!AU151</f>
        <v>1710098</v>
      </c>
      <c r="AK20" s="75"/>
      <c r="AL20" s="15" t="s">
        <v>4</v>
      </c>
      <c r="AM20" s="19"/>
      <c r="AN20" s="64">
        <v>220600</v>
      </c>
      <c r="AO20" s="75">
        <f>+งบดุลบัญชี!BA130+งบดุลบัญชี!BA151</f>
        <v>1987648</v>
      </c>
      <c r="AP20" s="75"/>
      <c r="AQ20" s="15" t="s">
        <v>4</v>
      </c>
      <c r="AR20" s="19"/>
      <c r="AS20" s="64">
        <v>220600</v>
      </c>
      <c r="AT20" s="75">
        <f>+งบดุลบัญชี!BM130</f>
        <v>1707015</v>
      </c>
      <c r="AU20" s="75"/>
      <c r="AV20" s="15" t="s">
        <v>4</v>
      </c>
      <c r="AW20" s="19"/>
      <c r="AX20" s="64">
        <v>220600</v>
      </c>
      <c r="AY20" s="75">
        <f>+งบดุลบัญชี!BS130</f>
        <v>1707015</v>
      </c>
      <c r="AZ20" s="75"/>
      <c r="BA20" s="15" t="s">
        <v>4</v>
      </c>
      <c r="BB20" s="19"/>
      <c r="BC20" s="64">
        <v>220600</v>
      </c>
      <c r="BD20" s="75">
        <f>+งบดุลบัญชี!BY130</f>
        <v>1707015</v>
      </c>
      <c r="BE20" s="75"/>
      <c r="BF20" s="15"/>
      <c r="BG20" s="19"/>
      <c r="BH20" s="64"/>
      <c r="BI20" s="75"/>
      <c r="BJ20" s="75"/>
    </row>
    <row r="21" spans="1:62" ht="15.75">
      <c r="A21" s="15" t="s">
        <v>5</v>
      </c>
      <c r="B21" s="19"/>
      <c r="C21" s="64">
        <v>531000</v>
      </c>
      <c r="D21" s="17">
        <f>SUM(งบดุลบัญชี!K131)</f>
        <v>0</v>
      </c>
      <c r="E21" s="17"/>
      <c r="F21" s="15" t="s">
        <v>5</v>
      </c>
      <c r="G21" s="19"/>
      <c r="H21" s="64">
        <v>531000</v>
      </c>
      <c r="I21" s="17">
        <f>SUM(งบดุลบัญชี!Q131)</f>
        <v>31574</v>
      </c>
      <c r="J21" s="17"/>
      <c r="K21" s="15" t="s">
        <v>5</v>
      </c>
      <c r="L21" s="19"/>
      <c r="M21" s="64">
        <v>531000</v>
      </c>
      <c r="N21" s="17">
        <f>SUM(งบดุลบัญชี!W131)</f>
        <v>76311</v>
      </c>
      <c r="O21" s="17"/>
      <c r="P21" s="15" t="s">
        <v>5</v>
      </c>
      <c r="Q21" s="19"/>
      <c r="R21" s="64">
        <v>531000</v>
      </c>
      <c r="S21" s="64">
        <v>531000</v>
      </c>
      <c r="T21" s="17">
        <f>SUM(งบดุลบัญชี!AC131)</f>
        <v>107011</v>
      </c>
      <c r="U21" s="17"/>
      <c r="V21" s="15" t="s">
        <v>5</v>
      </c>
      <c r="W21" s="19"/>
      <c r="X21" s="64">
        <v>531000</v>
      </c>
      <c r="Y21" s="64">
        <v>531000</v>
      </c>
      <c r="Z21" s="17">
        <f>SUM(งบดุลบัญชี!AI131)</f>
        <v>141811</v>
      </c>
      <c r="AA21" s="17"/>
      <c r="AB21" s="15" t="s">
        <v>5</v>
      </c>
      <c r="AC21" s="19"/>
      <c r="AD21" s="64">
        <v>531000</v>
      </c>
      <c r="AE21" s="75">
        <f>SUM(งบดุลบัญชี!AO131+งบดุลบัญชี!AO152)</f>
        <v>233211</v>
      </c>
      <c r="AF21" s="75"/>
      <c r="AG21" s="15" t="s">
        <v>5</v>
      </c>
      <c r="AH21" s="19"/>
      <c r="AI21" s="64">
        <v>531000</v>
      </c>
      <c r="AJ21" s="75">
        <f>+งบดุลบัญชี!AU131+งบดุลบัญชี!AU152</f>
        <v>264711</v>
      </c>
      <c r="AK21" s="75"/>
      <c r="AL21" s="15" t="s">
        <v>5</v>
      </c>
      <c r="AM21" s="19"/>
      <c r="AN21" s="64">
        <v>531000</v>
      </c>
      <c r="AO21" s="75">
        <f>+งบดุลบัญชี!BA131+งบดุลบัญชี!BA152</f>
        <v>298341</v>
      </c>
      <c r="AP21" s="75"/>
      <c r="AQ21" s="15" t="s">
        <v>5</v>
      </c>
      <c r="AR21" s="19"/>
      <c r="AS21" s="64">
        <v>531000</v>
      </c>
      <c r="AT21" s="75">
        <f>+งบดุลบัญชี!BM131</f>
        <v>258341</v>
      </c>
      <c r="AU21" s="75"/>
      <c r="AV21" s="15" t="s">
        <v>5</v>
      </c>
      <c r="AW21" s="19"/>
      <c r="AX21" s="64">
        <v>531000</v>
      </c>
      <c r="AY21" s="75">
        <f>+งบดุลบัญชี!BS131</f>
        <v>258341</v>
      </c>
      <c r="AZ21" s="75"/>
      <c r="BA21" s="15" t="s">
        <v>5</v>
      </c>
      <c r="BB21" s="19"/>
      <c r="BC21" s="64">
        <v>531000</v>
      </c>
      <c r="BD21" s="75">
        <f>+งบดุลบัญชี!BY131</f>
        <v>258341</v>
      </c>
      <c r="BE21" s="75"/>
      <c r="BF21" s="15"/>
      <c r="BG21" s="19"/>
      <c r="BH21" s="64"/>
      <c r="BI21" s="75"/>
      <c r="BJ21" s="75"/>
    </row>
    <row r="22" spans="1:62" ht="15.75">
      <c r="A22" s="68" t="s">
        <v>6</v>
      </c>
      <c r="B22" s="69"/>
      <c r="C22" s="64">
        <v>532000</v>
      </c>
      <c r="D22" s="17">
        <f>SUM(งบดุลบัญชี!K132)</f>
        <v>33683.15</v>
      </c>
      <c r="E22" s="17"/>
      <c r="F22" s="68" t="s">
        <v>6</v>
      </c>
      <c r="G22" s="69"/>
      <c r="H22" s="64">
        <v>532000</v>
      </c>
      <c r="I22" s="17">
        <f>SUM(งบดุลบัญชี!Q132)</f>
        <v>406764.66000000003</v>
      </c>
      <c r="J22" s="17"/>
      <c r="K22" s="68" t="s">
        <v>6</v>
      </c>
      <c r="L22" s="69"/>
      <c r="M22" s="64">
        <v>532000</v>
      </c>
      <c r="N22" s="17">
        <f>SUM(งบดุลบัญชี!W132)</f>
        <v>639231.66</v>
      </c>
      <c r="O22" s="17"/>
      <c r="P22" s="68" t="s">
        <v>6</v>
      </c>
      <c r="Q22" s="69"/>
      <c r="R22" s="64">
        <v>532000</v>
      </c>
      <c r="S22" s="64">
        <v>532000</v>
      </c>
      <c r="T22" s="17">
        <f>SUM(งบดุลบัญชี!AC132)</f>
        <v>1254116.21</v>
      </c>
      <c r="U22" s="17"/>
      <c r="V22" s="68" t="s">
        <v>6</v>
      </c>
      <c r="W22" s="69"/>
      <c r="X22" s="64">
        <v>532000</v>
      </c>
      <c r="Y22" s="64">
        <v>532000</v>
      </c>
      <c r="Z22" s="17">
        <f>SUM(งบดุลบัญชี!AI132)</f>
        <v>1507007.56</v>
      </c>
      <c r="AA22" s="17"/>
      <c r="AB22" s="68" t="s">
        <v>6</v>
      </c>
      <c r="AC22" s="69"/>
      <c r="AD22" s="64">
        <v>532000</v>
      </c>
      <c r="AE22" s="75">
        <f>SUM(งบดุลบัญชี!AO132)</f>
        <v>1685497.46</v>
      </c>
      <c r="AF22" s="75"/>
      <c r="AG22" s="68" t="s">
        <v>6</v>
      </c>
      <c r="AH22" s="69"/>
      <c r="AI22" s="64">
        <v>532000</v>
      </c>
      <c r="AJ22" s="75">
        <f>+งบดุลบัญชี!AU132</f>
        <v>2016709.46</v>
      </c>
      <c r="AK22" s="75"/>
      <c r="AL22" s="68" t="s">
        <v>6</v>
      </c>
      <c r="AM22" s="69"/>
      <c r="AN22" s="64">
        <v>532000</v>
      </c>
      <c r="AO22" s="75">
        <f>+งบดุลบัญชี!BA132+งบดุลบัญชี!BA153</f>
        <v>2519949.16</v>
      </c>
      <c r="AP22" s="75"/>
      <c r="AQ22" s="68" t="s">
        <v>6</v>
      </c>
      <c r="AR22" s="69"/>
      <c r="AS22" s="64">
        <v>532000</v>
      </c>
      <c r="AT22" s="75">
        <f>+งบดุลบัญชี!BM132</f>
        <v>2222449.16</v>
      </c>
      <c r="AU22" s="75"/>
      <c r="AV22" s="68" t="s">
        <v>6</v>
      </c>
      <c r="AW22" s="69"/>
      <c r="AX22" s="64">
        <v>532000</v>
      </c>
      <c r="AY22" s="75">
        <f>+งบดุลบัญชี!BS132</f>
        <v>2222449.16</v>
      </c>
      <c r="AZ22" s="75"/>
      <c r="BA22" s="68" t="s">
        <v>6</v>
      </c>
      <c r="BB22" s="69"/>
      <c r="BC22" s="64">
        <v>532000</v>
      </c>
      <c r="BD22" s="75">
        <f>+งบดุลบัญชี!BY132</f>
        <v>2222449.16</v>
      </c>
      <c r="BE22" s="75"/>
      <c r="BF22" s="68"/>
      <c r="BG22" s="69"/>
      <c r="BH22" s="64"/>
      <c r="BI22" s="75"/>
      <c r="BJ22" s="75"/>
    </row>
    <row r="23" spans="1:62" ht="15.75">
      <c r="A23" s="68" t="s">
        <v>7</v>
      </c>
      <c r="B23" s="69"/>
      <c r="C23" s="64">
        <v>533000</v>
      </c>
      <c r="D23" s="17">
        <f>SUM(งบดุลบัญชี!K133)</f>
        <v>12950</v>
      </c>
      <c r="E23" s="17"/>
      <c r="F23" s="68" t="s">
        <v>7</v>
      </c>
      <c r="G23" s="69"/>
      <c r="H23" s="64">
        <v>533000</v>
      </c>
      <c r="I23" s="17">
        <f>SUM(งบดุลบัญชี!Q133)</f>
        <v>160875</v>
      </c>
      <c r="J23" s="17"/>
      <c r="K23" s="68" t="s">
        <v>7</v>
      </c>
      <c r="L23" s="69"/>
      <c r="M23" s="64">
        <v>533000</v>
      </c>
      <c r="N23" s="17">
        <f>SUM(งบดุลบัญชี!W133)</f>
        <v>291928</v>
      </c>
      <c r="O23" s="17"/>
      <c r="P23" s="68" t="s">
        <v>7</v>
      </c>
      <c r="Q23" s="69"/>
      <c r="R23" s="64">
        <v>533000</v>
      </c>
      <c r="S23" s="64">
        <v>533000</v>
      </c>
      <c r="T23" s="17">
        <f>SUM(งบดุลบัญชี!AC133)</f>
        <v>450422</v>
      </c>
      <c r="U23" s="17"/>
      <c r="V23" s="68" t="s">
        <v>7</v>
      </c>
      <c r="W23" s="69"/>
      <c r="X23" s="64">
        <v>533000</v>
      </c>
      <c r="Y23" s="64">
        <v>533000</v>
      </c>
      <c r="Z23" s="17">
        <f>SUM(งบดุลบัญชี!AI133)</f>
        <v>529543.36</v>
      </c>
      <c r="AA23" s="17"/>
      <c r="AB23" s="68" t="s">
        <v>7</v>
      </c>
      <c r="AC23" s="69"/>
      <c r="AD23" s="64">
        <v>533000</v>
      </c>
      <c r="AE23" s="75">
        <f>SUM(งบดุลบัญชี!AO133)</f>
        <v>666262.32</v>
      </c>
      <c r="AF23" s="75"/>
      <c r="AG23" s="68" t="s">
        <v>7</v>
      </c>
      <c r="AH23" s="69"/>
      <c r="AI23" s="64">
        <v>533000</v>
      </c>
      <c r="AJ23" s="75">
        <f>+งบดุลบัญชี!AU133</f>
        <v>776631.5399999999</v>
      </c>
      <c r="AK23" s="75"/>
      <c r="AL23" s="68" t="s">
        <v>7</v>
      </c>
      <c r="AM23" s="69"/>
      <c r="AN23" s="64">
        <v>533000</v>
      </c>
      <c r="AO23" s="75">
        <f>+งบดุลบัญชี!BA133+งบดุลบัญชี!BA154</f>
        <v>824623.5399999999</v>
      </c>
      <c r="AP23" s="75"/>
      <c r="AQ23" s="68" t="s">
        <v>7</v>
      </c>
      <c r="AR23" s="69"/>
      <c r="AS23" s="64">
        <v>533000</v>
      </c>
      <c r="AT23" s="75">
        <f>+งบดุลบัญชี!BM133</f>
        <v>824623.5399999999</v>
      </c>
      <c r="AU23" s="75"/>
      <c r="AV23" s="68" t="s">
        <v>7</v>
      </c>
      <c r="AW23" s="69"/>
      <c r="AX23" s="64">
        <v>533000</v>
      </c>
      <c r="AY23" s="75">
        <f>+งบดุลบัญชี!BS133</f>
        <v>824623.5399999999</v>
      </c>
      <c r="AZ23" s="75"/>
      <c r="BA23" s="68" t="s">
        <v>7</v>
      </c>
      <c r="BB23" s="69"/>
      <c r="BC23" s="64">
        <v>533000</v>
      </c>
      <c r="BD23" s="75">
        <f>+งบดุลบัญชี!BY133</f>
        <v>824623.5399999999</v>
      </c>
      <c r="BE23" s="75"/>
      <c r="BF23" s="68"/>
      <c r="BG23" s="69"/>
      <c r="BH23" s="64"/>
      <c r="BI23" s="75"/>
      <c r="BJ23" s="75"/>
    </row>
    <row r="24" spans="1:62" ht="15.75">
      <c r="A24" s="15" t="s">
        <v>8</v>
      </c>
      <c r="B24" s="19"/>
      <c r="C24" s="64">
        <v>534000</v>
      </c>
      <c r="D24" s="17">
        <f>SUM(งบดุลบัญชี!K134)</f>
        <v>1760</v>
      </c>
      <c r="E24" s="17"/>
      <c r="F24" s="15" t="s">
        <v>8</v>
      </c>
      <c r="G24" s="19"/>
      <c r="H24" s="64">
        <v>534000</v>
      </c>
      <c r="I24" s="17">
        <f>SUM(งบดุลบัญชี!Q134)</f>
        <v>96813.99</v>
      </c>
      <c r="J24" s="17"/>
      <c r="K24" s="15" t="s">
        <v>8</v>
      </c>
      <c r="L24" s="19"/>
      <c r="M24" s="64">
        <v>534000</v>
      </c>
      <c r="N24" s="17">
        <f>SUM(งบดุลบัญชี!W134)</f>
        <v>262401.23</v>
      </c>
      <c r="O24" s="17"/>
      <c r="P24" s="15" t="s">
        <v>8</v>
      </c>
      <c r="Q24" s="19"/>
      <c r="R24" s="64">
        <v>534000</v>
      </c>
      <c r="S24" s="64">
        <v>534000</v>
      </c>
      <c r="T24" s="17">
        <f>SUM(งบดุลบัญชี!AC134)</f>
        <v>349322.20999999996</v>
      </c>
      <c r="U24" s="17"/>
      <c r="V24" s="15" t="s">
        <v>8</v>
      </c>
      <c r="W24" s="19"/>
      <c r="X24" s="64">
        <v>534000</v>
      </c>
      <c r="Y24" s="64">
        <v>534000</v>
      </c>
      <c r="Z24" s="17">
        <f>SUM(งบดุลบัญชี!AI134)</f>
        <v>427909.06999999995</v>
      </c>
      <c r="AA24" s="17"/>
      <c r="AB24" s="15" t="s">
        <v>8</v>
      </c>
      <c r="AC24" s="19"/>
      <c r="AD24" s="64">
        <v>534000</v>
      </c>
      <c r="AE24" s="75">
        <f>SUM(งบดุลบัญชี!AO134)</f>
        <v>521589.38999999996</v>
      </c>
      <c r="AF24" s="75"/>
      <c r="AG24" s="15" t="s">
        <v>8</v>
      </c>
      <c r="AH24" s="19"/>
      <c r="AI24" s="64">
        <v>534000</v>
      </c>
      <c r="AJ24" s="75">
        <f>+งบดุลบัญชี!AU134</f>
        <v>527290.3899999999</v>
      </c>
      <c r="AK24" s="75"/>
      <c r="AL24" s="15" t="s">
        <v>8</v>
      </c>
      <c r="AM24" s="19"/>
      <c r="AN24" s="64">
        <v>534000</v>
      </c>
      <c r="AO24" s="75">
        <f>+งบดุลบัญชี!BA134</f>
        <v>614629.2999999999</v>
      </c>
      <c r="AP24" s="75"/>
      <c r="AQ24" s="15" t="s">
        <v>8</v>
      </c>
      <c r="AR24" s="19"/>
      <c r="AS24" s="64">
        <v>534000</v>
      </c>
      <c r="AT24" s="75">
        <f>+งบดุลบัญชี!BM134</f>
        <v>614629.2999999999</v>
      </c>
      <c r="AU24" s="75"/>
      <c r="AV24" s="15" t="s">
        <v>8</v>
      </c>
      <c r="AW24" s="19"/>
      <c r="AX24" s="64">
        <v>534000</v>
      </c>
      <c r="AY24" s="75">
        <f>+งบดุลบัญชี!BS134</f>
        <v>614629.2999999999</v>
      </c>
      <c r="AZ24" s="75"/>
      <c r="BA24" s="15" t="s">
        <v>8</v>
      </c>
      <c r="BB24" s="19"/>
      <c r="BC24" s="64">
        <v>534000</v>
      </c>
      <c r="BD24" s="75">
        <f>+งบดุลบัญชี!BY134</f>
        <v>614629.2999999999</v>
      </c>
      <c r="BE24" s="75"/>
      <c r="BF24" s="15"/>
      <c r="BG24" s="19"/>
      <c r="BH24" s="64"/>
      <c r="BI24" s="75"/>
      <c r="BJ24" s="75"/>
    </row>
    <row r="25" spans="1:62" ht="15.75">
      <c r="A25" s="15" t="s">
        <v>57</v>
      </c>
      <c r="B25" s="19"/>
      <c r="C25" s="64">
        <v>541000</v>
      </c>
      <c r="D25" s="17">
        <f>SUM(งบดุลบัญชี!K135)</f>
        <v>0</v>
      </c>
      <c r="E25" s="17"/>
      <c r="F25" s="15" t="s">
        <v>57</v>
      </c>
      <c r="G25" s="19"/>
      <c r="H25" s="64">
        <v>541000</v>
      </c>
      <c r="I25" s="17">
        <f>SUM(งบดุลบัญชี!Q135)</f>
        <v>29660</v>
      </c>
      <c r="J25" s="17"/>
      <c r="K25" s="15" t="s">
        <v>57</v>
      </c>
      <c r="L25" s="19"/>
      <c r="M25" s="64">
        <v>541000</v>
      </c>
      <c r="N25" s="17">
        <f>SUM(งบดุลบัญชี!W135)</f>
        <v>34860</v>
      </c>
      <c r="O25" s="17"/>
      <c r="P25" s="15" t="s">
        <v>57</v>
      </c>
      <c r="Q25" s="19"/>
      <c r="R25" s="64">
        <v>541000</v>
      </c>
      <c r="S25" s="64">
        <v>541000</v>
      </c>
      <c r="T25" s="17">
        <f>SUM(งบดุลบัญชี!AC135)</f>
        <v>251030</v>
      </c>
      <c r="U25" s="17"/>
      <c r="V25" s="15" t="s">
        <v>57</v>
      </c>
      <c r="W25" s="19"/>
      <c r="X25" s="64">
        <v>541000</v>
      </c>
      <c r="Y25" s="64">
        <v>541000</v>
      </c>
      <c r="Z25" s="17">
        <f>SUM(งบดุลบัญชี!AI135)</f>
        <v>251030</v>
      </c>
      <c r="AA25" s="17"/>
      <c r="AB25" s="15" t="s">
        <v>57</v>
      </c>
      <c r="AC25" s="19"/>
      <c r="AD25" s="64">
        <v>541000</v>
      </c>
      <c r="AE25" s="75">
        <f>SUM(งบดุลบัญชี!AO135)</f>
        <v>347230</v>
      </c>
      <c r="AF25" s="75"/>
      <c r="AG25" s="15" t="s">
        <v>57</v>
      </c>
      <c r="AH25" s="19"/>
      <c r="AI25" s="64">
        <v>541000</v>
      </c>
      <c r="AJ25" s="75">
        <f>+งบดุลบัญชี!AU135+งบดุลบัญชี!AU160</f>
        <v>5838897.7</v>
      </c>
      <c r="AK25" s="75"/>
      <c r="AL25" s="15" t="s">
        <v>57</v>
      </c>
      <c r="AM25" s="19"/>
      <c r="AN25" s="64">
        <v>541000</v>
      </c>
      <c r="AO25" s="75">
        <f>+งบดุลบัญชี!BA135+งบดุลบัญชี!BA156+งบดุลบัญชี!BA160</f>
        <v>7100491.7</v>
      </c>
      <c r="AP25" s="75"/>
      <c r="AQ25" s="15" t="s">
        <v>57</v>
      </c>
      <c r="AR25" s="19"/>
      <c r="AS25" s="64">
        <v>541000</v>
      </c>
      <c r="AT25" s="75">
        <f>+งบดุลบัญชี!BM135</f>
        <v>477491.7</v>
      </c>
      <c r="AU25" s="75"/>
      <c r="AV25" s="15" t="s">
        <v>57</v>
      </c>
      <c r="AW25" s="19"/>
      <c r="AX25" s="64">
        <v>541000</v>
      </c>
      <c r="AY25" s="75">
        <f>+งบดุลบัญชี!BS135</f>
        <v>477491.7</v>
      </c>
      <c r="AZ25" s="75"/>
      <c r="BA25" s="15" t="s">
        <v>57</v>
      </c>
      <c r="BB25" s="19"/>
      <c r="BC25" s="64">
        <v>541000</v>
      </c>
      <c r="BD25" s="75">
        <f>+งบดุลบัญชี!BY135</f>
        <v>477491.7</v>
      </c>
      <c r="BE25" s="75"/>
      <c r="BF25" s="15"/>
      <c r="BG25" s="19"/>
      <c r="BH25" s="64"/>
      <c r="BI25" s="75"/>
      <c r="BJ25" s="75"/>
    </row>
    <row r="26" spans="1:62" ht="15.75">
      <c r="A26" s="15" t="s">
        <v>10</v>
      </c>
      <c r="B26" s="19"/>
      <c r="C26" s="64">
        <v>542000</v>
      </c>
      <c r="D26" s="17">
        <f>SUM(งบดุลบัญชี!K136)</f>
        <v>0</v>
      </c>
      <c r="E26" s="17"/>
      <c r="F26" s="15" t="s">
        <v>10</v>
      </c>
      <c r="G26" s="19"/>
      <c r="H26" s="64">
        <v>542000</v>
      </c>
      <c r="I26" s="17">
        <f>SUM(งบดุลบัญชี!Q136)</f>
        <v>0</v>
      </c>
      <c r="J26" s="17"/>
      <c r="K26" s="15" t="s">
        <v>10</v>
      </c>
      <c r="L26" s="19"/>
      <c r="M26" s="64">
        <v>542000</v>
      </c>
      <c r="N26" s="17">
        <f>SUM(งบดุลบัญชี!W136)</f>
        <v>0</v>
      </c>
      <c r="O26" s="17"/>
      <c r="P26" s="15" t="s">
        <v>10</v>
      </c>
      <c r="Q26" s="19"/>
      <c r="R26" s="64">
        <v>542000</v>
      </c>
      <c r="S26" s="64">
        <v>542000</v>
      </c>
      <c r="T26" s="17">
        <f>SUM(งบดุลบัญชี!AC136)</f>
        <v>53000</v>
      </c>
      <c r="U26" s="17"/>
      <c r="V26" s="15" t="s">
        <v>10</v>
      </c>
      <c r="W26" s="19"/>
      <c r="X26" s="64">
        <v>542000</v>
      </c>
      <c r="Y26" s="64">
        <v>542000</v>
      </c>
      <c r="Z26" s="17">
        <f>SUM(งบดุลบัญชี!AI136)</f>
        <v>123850</v>
      </c>
      <c r="AA26" s="17"/>
      <c r="AB26" s="15" t="s">
        <v>10</v>
      </c>
      <c r="AC26" s="19"/>
      <c r="AD26" s="64">
        <v>542000</v>
      </c>
      <c r="AE26" s="75">
        <f>+งบดุลบัญชี!AO136+งบดุลบัญชี!AO157+งบดุลบัญชี!AO158</f>
        <v>5470750</v>
      </c>
      <c r="AF26" s="75"/>
      <c r="AG26" s="15" t="s">
        <v>10</v>
      </c>
      <c r="AH26" s="19"/>
      <c r="AI26" s="64">
        <v>542000</v>
      </c>
      <c r="AJ26" s="75">
        <f>+งบดุลบัญชี!AU136+งบดุลบัญชี!AU157+งบดุลบัญชี!AU158</f>
        <v>5568750</v>
      </c>
      <c r="AK26" s="75"/>
      <c r="AL26" s="15" t="s">
        <v>10</v>
      </c>
      <c r="AM26" s="19"/>
      <c r="AN26" s="64">
        <v>542000</v>
      </c>
      <c r="AO26" s="75">
        <f>+งบดุลบัญชี!BA136+งบดุลบัญชี!BA157+งบดุลบัญชี!BA158+งบดุลบัญชี!BA161</f>
        <v>10589790</v>
      </c>
      <c r="AP26" s="75"/>
      <c r="AQ26" s="15" t="s">
        <v>10</v>
      </c>
      <c r="AR26" s="19"/>
      <c r="AS26" s="64">
        <v>542000</v>
      </c>
      <c r="AT26" s="75">
        <f>+งบดุลบัญชี!BM136</f>
        <v>371490</v>
      </c>
      <c r="AU26" s="75"/>
      <c r="AV26" s="15" t="s">
        <v>10</v>
      </c>
      <c r="AW26" s="19"/>
      <c r="AX26" s="64">
        <v>542000</v>
      </c>
      <c r="AY26" s="75">
        <f>+งบดุลบัญชี!BS136</f>
        <v>371490</v>
      </c>
      <c r="AZ26" s="75"/>
      <c r="BA26" s="15" t="s">
        <v>10</v>
      </c>
      <c r="BB26" s="19"/>
      <c r="BC26" s="64">
        <v>542000</v>
      </c>
      <c r="BD26" s="75">
        <f>+งบดุลบัญชี!BY136</f>
        <v>371490</v>
      </c>
      <c r="BE26" s="75"/>
      <c r="BF26" s="15"/>
      <c r="BG26" s="19"/>
      <c r="BH26" s="64"/>
      <c r="BI26" s="75"/>
      <c r="BJ26" s="75"/>
    </row>
    <row r="27" spans="1:62" ht="15.75">
      <c r="A27" s="15" t="s">
        <v>12</v>
      </c>
      <c r="B27" s="19"/>
      <c r="C27" s="64">
        <v>550000</v>
      </c>
      <c r="D27" s="17">
        <f>SUM(งบดุลบัญชี!K138)</f>
        <v>0</v>
      </c>
      <c r="E27" s="17"/>
      <c r="F27" s="15" t="s">
        <v>12</v>
      </c>
      <c r="G27" s="19"/>
      <c r="H27" s="64">
        <v>550000</v>
      </c>
      <c r="I27" s="17">
        <f>SUM(งบดุลบัญชี!Q138)</f>
        <v>0</v>
      </c>
      <c r="J27" s="17"/>
      <c r="K27" s="15" t="s">
        <v>12</v>
      </c>
      <c r="L27" s="19"/>
      <c r="M27" s="64">
        <v>550000</v>
      </c>
      <c r="N27" s="17">
        <f>SUM(งบดุลบัญชี!W138)</f>
        <v>0</v>
      </c>
      <c r="O27" s="17"/>
      <c r="P27" s="15" t="s">
        <v>12</v>
      </c>
      <c r="Q27" s="19"/>
      <c r="R27" s="64">
        <v>550000</v>
      </c>
      <c r="S27" s="64">
        <v>550000</v>
      </c>
      <c r="T27" s="17">
        <f>+งบดุลบัญชี!AC138</f>
        <v>0</v>
      </c>
      <c r="U27" s="17"/>
      <c r="V27" s="15" t="s">
        <v>12</v>
      </c>
      <c r="W27" s="19"/>
      <c r="X27" s="64">
        <v>550000</v>
      </c>
      <c r="Y27" s="64">
        <v>550000</v>
      </c>
      <c r="Z27" s="17">
        <f>SUM(งบดุลบัญชี!AI138)</f>
        <v>0</v>
      </c>
      <c r="AA27" s="17"/>
      <c r="AB27" s="15" t="s">
        <v>12</v>
      </c>
      <c r="AC27" s="19"/>
      <c r="AD27" s="64">
        <v>550000</v>
      </c>
      <c r="AE27" s="75">
        <f>SUM(งบดุลบัญชี!AO138)</f>
        <v>0</v>
      </c>
      <c r="AF27" s="75"/>
      <c r="AG27" s="15" t="s">
        <v>12</v>
      </c>
      <c r="AH27" s="19"/>
      <c r="AI27" s="64">
        <v>550000</v>
      </c>
      <c r="AJ27" s="75">
        <f>+งบดุลบัญชี!AU138</f>
        <v>0</v>
      </c>
      <c r="AK27" s="75"/>
      <c r="AL27" s="15" t="s">
        <v>12</v>
      </c>
      <c r="AM27" s="19"/>
      <c r="AN27" s="64">
        <v>550000</v>
      </c>
      <c r="AO27" s="75">
        <f>+งบดุลบัญชี!BA138</f>
        <v>0</v>
      </c>
      <c r="AP27" s="75"/>
      <c r="AQ27" s="15" t="s">
        <v>12</v>
      </c>
      <c r="AR27" s="19"/>
      <c r="AS27" s="64">
        <v>550000</v>
      </c>
      <c r="AT27" s="75">
        <f>+งบดุลบัญชี!BM138</f>
        <v>0</v>
      </c>
      <c r="AU27" s="75"/>
      <c r="AV27" s="15" t="s">
        <v>12</v>
      </c>
      <c r="AW27" s="19"/>
      <c r="AX27" s="64">
        <v>550000</v>
      </c>
      <c r="AY27" s="75">
        <f>+งบดุลบัญชี!BS138</f>
        <v>0</v>
      </c>
      <c r="AZ27" s="75"/>
      <c r="BA27" s="15" t="s">
        <v>12</v>
      </c>
      <c r="BB27" s="19"/>
      <c r="BC27" s="64">
        <v>550000</v>
      </c>
      <c r="BD27" s="75">
        <f>+งบดุลบัญชี!BY138</f>
        <v>0</v>
      </c>
      <c r="BE27" s="75"/>
      <c r="BF27" s="15"/>
      <c r="BG27" s="19"/>
      <c r="BH27" s="64"/>
      <c r="BI27" s="75"/>
      <c r="BJ27" s="75"/>
    </row>
    <row r="28" spans="1:62" ht="15.75">
      <c r="A28" s="15" t="s">
        <v>13</v>
      </c>
      <c r="B28" s="19"/>
      <c r="C28" s="413">
        <v>560000</v>
      </c>
      <c r="D28" s="17">
        <f>SUM(งบดุลบัญชี!K137)</f>
        <v>0</v>
      </c>
      <c r="E28" s="17"/>
      <c r="F28" s="15" t="s">
        <v>13</v>
      </c>
      <c r="G28" s="19"/>
      <c r="H28" s="413">
        <v>560000</v>
      </c>
      <c r="I28" s="17">
        <f>SUM(งบดุลบัญชี!Q137)</f>
        <v>944000</v>
      </c>
      <c r="J28" s="17"/>
      <c r="K28" s="15" t="s">
        <v>13</v>
      </c>
      <c r="L28" s="19"/>
      <c r="M28" s="413">
        <v>560000</v>
      </c>
      <c r="N28" s="17">
        <f>SUM(งบดุลบัญชี!W137)</f>
        <v>944000</v>
      </c>
      <c r="O28" s="17"/>
      <c r="P28" s="15" t="s">
        <v>13</v>
      </c>
      <c r="Q28" s="19"/>
      <c r="R28" s="413">
        <v>560000</v>
      </c>
      <c r="S28" s="413">
        <v>560000</v>
      </c>
      <c r="T28" s="17">
        <f>SUM(งบดุลบัญชี!AC137)</f>
        <v>1969000</v>
      </c>
      <c r="U28" s="17"/>
      <c r="V28" s="15" t="s">
        <v>13</v>
      </c>
      <c r="W28" s="19"/>
      <c r="X28" s="413">
        <v>560000</v>
      </c>
      <c r="Y28" s="413">
        <v>560000</v>
      </c>
      <c r="Z28" s="17">
        <f>SUM(งบดุลบัญชี!AI137)</f>
        <v>1969000</v>
      </c>
      <c r="AA28" s="17"/>
      <c r="AB28" s="15" t="s">
        <v>13</v>
      </c>
      <c r="AC28" s="19"/>
      <c r="AD28" s="413">
        <v>560000</v>
      </c>
      <c r="AE28" s="75">
        <f>SUM(งบดุลบัญชี!AO137)</f>
        <v>2237000</v>
      </c>
      <c r="AF28" s="75"/>
      <c r="AG28" s="15" t="s">
        <v>13</v>
      </c>
      <c r="AH28" s="19"/>
      <c r="AI28" s="413">
        <v>560000</v>
      </c>
      <c r="AJ28" s="75">
        <f>+งบดุลบัญชี!AU137</f>
        <v>2237000</v>
      </c>
      <c r="AK28" s="75"/>
      <c r="AL28" s="15" t="s">
        <v>13</v>
      </c>
      <c r="AM28" s="19"/>
      <c r="AN28" s="413">
        <v>560000</v>
      </c>
      <c r="AO28" s="75">
        <f>+งบดุลบัญชี!BA137</f>
        <v>3181000</v>
      </c>
      <c r="AP28" s="75"/>
      <c r="AQ28" s="15" t="s">
        <v>13</v>
      </c>
      <c r="AR28" s="19"/>
      <c r="AS28" s="413">
        <v>560000</v>
      </c>
      <c r="AT28" s="75">
        <f>+งบดุลบัญชี!BM137</f>
        <v>3181000</v>
      </c>
      <c r="AU28" s="75"/>
      <c r="AV28" s="15" t="s">
        <v>13</v>
      </c>
      <c r="AW28" s="19"/>
      <c r="AX28" s="413">
        <v>560000</v>
      </c>
      <c r="AY28" s="75">
        <f>+งบดุลบัญชี!BS137</f>
        <v>3181000</v>
      </c>
      <c r="AZ28" s="75"/>
      <c r="BA28" s="15" t="s">
        <v>13</v>
      </c>
      <c r="BB28" s="19"/>
      <c r="BC28" s="413">
        <v>560000</v>
      </c>
      <c r="BD28" s="75">
        <f>+งบดุลบัญชี!BY137</f>
        <v>3181000</v>
      </c>
      <c r="BE28" s="75"/>
      <c r="BF28" s="15"/>
      <c r="BG28" s="19"/>
      <c r="BH28" s="413"/>
      <c r="BI28" s="75"/>
      <c r="BJ28" s="75"/>
    </row>
    <row r="29" spans="1:62" ht="15.75">
      <c r="A29" s="15" t="s">
        <v>142</v>
      </c>
      <c r="B29" s="19"/>
      <c r="C29" s="64">
        <v>400000</v>
      </c>
      <c r="D29" s="63"/>
      <c r="E29" s="17">
        <f>SUM(งบดุลบัญชี!L115)</f>
        <v>1651932.43</v>
      </c>
      <c r="F29" s="15" t="s">
        <v>142</v>
      </c>
      <c r="G29" s="19"/>
      <c r="H29" s="64">
        <v>400000</v>
      </c>
      <c r="I29" s="63"/>
      <c r="J29" s="17">
        <f>SUM(งบดุลบัญชี!R115)</f>
        <v>9379708.94</v>
      </c>
      <c r="K29" s="15" t="s">
        <v>142</v>
      </c>
      <c r="L29" s="19"/>
      <c r="M29" s="64">
        <v>400000</v>
      </c>
      <c r="N29" s="63"/>
      <c r="O29" s="17">
        <f>SUM(งบดุลบัญชี!X115)</f>
        <v>18154002.19</v>
      </c>
      <c r="P29" s="15" t="s">
        <v>142</v>
      </c>
      <c r="Q29" s="19"/>
      <c r="R29" s="64">
        <v>400000</v>
      </c>
      <c r="S29" s="64">
        <v>400000</v>
      </c>
      <c r="T29" s="63"/>
      <c r="U29" s="17">
        <f>SUM(งบดุลบัญชี!AD115)</f>
        <v>22402460.950000003</v>
      </c>
      <c r="V29" s="15" t="s">
        <v>142</v>
      </c>
      <c r="W29" s="19"/>
      <c r="X29" s="64">
        <v>400000</v>
      </c>
      <c r="Y29" s="64">
        <v>400000</v>
      </c>
      <c r="Z29" s="63"/>
      <c r="AA29" s="17">
        <f>SUM(งบดุลบัญชี!AJ115)</f>
        <v>24344656.490000002</v>
      </c>
      <c r="AB29" s="15" t="s">
        <v>142</v>
      </c>
      <c r="AC29" s="19"/>
      <c r="AD29" s="64">
        <v>400000</v>
      </c>
      <c r="AE29" s="213"/>
      <c r="AF29" s="75">
        <f>SUM(งบดุลบัญชี!AP115)</f>
        <v>35959423.879999995</v>
      </c>
      <c r="AG29" s="15" t="s">
        <v>142</v>
      </c>
      <c r="AH29" s="19"/>
      <c r="AI29" s="64">
        <v>400000</v>
      </c>
      <c r="AJ29" s="213"/>
      <c r="AK29" s="75">
        <f>+งบดุลบัญชี!AV115</f>
        <v>39800317.38</v>
      </c>
      <c r="AL29" s="15" t="s">
        <v>142</v>
      </c>
      <c r="AM29" s="19"/>
      <c r="AN29" s="64">
        <v>400000</v>
      </c>
      <c r="AO29" s="213"/>
      <c r="AP29" s="75">
        <f>+งบดุลบัญชี!BB115</f>
        <v>42904727.99</v>
      </c>
      <c r="AQ29" s="15" t="s">
        <v>142</v>
      </c>
      <c r="AR29" s="19"/>
      <c r="AS29" s="64">
        <v>400000</v>
      </c>
      <c r="AT29" s="213"/>
      <c r="AU29" s="213">
        <f>+งบดุลบัญชี!BN115</f>
        <v>40924727.99</v>
      </c>
      <c r="AV29" s="15" t="s">
        <v>142</v>
      </c>
      <c r="AW29" s="19"/>
      <c r="AX29" s="64">
        <v>400000</v>
      </c>
      <c r="AY29" s="213"/>
      <c r="AZ29" s="213">
        <f>+งบดุลบัญชี!BT115</f>
        <v>40924727.99</v>
      </c>
      <c r="BA29" s="15" t="s">
        <v>142</v>
      </c>
      <c r="BB29" s="19"/>
      <c r="BC29" s="64">
        <v>400000</v>
      </c>
      <c r="BD29" s="213"/>
      <c r="BE29" s="213">
        <f>+งบดุลบัญชี!BZ115</f>
        <v>40924727.99</v>
      </c>
      <c r="BF29" s="15"/>
      <c r="BG29" s="19"/>
      <c r="BH29" s="64"/>
      <c r="BI29" s="213"/>
      <c r="BJ29" s="213"/>
    </row>
    <row r="30" spans="1:62" ht="15.75">
      <c r="A30" s="15" t="s">
        <v>297</v>
      </c>
      <c r="B30" s="19"/>
      <c r="C30" s="64">
        <v>230100</v>
      </c>
      <c r="D30" s="63"/>
      <c r="E30" s="17">
        <f>SUM(งบดุลบัญชี!L33)</f>
        <v>729461.69</v>
      </c>
      <c r="F30" s="15" t="s">
        <v>297</v>
      </c>
      <c r="G30" s="19"/>
      <c r="H30" s="64">
        <v>230100</v>
      </c>
      <c r="I30" s="63"/>
      <c r="J30" s="17">
        <f>SUM(งบดุลบัญชี!R33)</f>
        <v>754262.73</v>
      </c>
      <c r="K30" s="15" t="s">
        <v>297</v>
      </c>
      <c r="L30" s="19"/>
      <c r="M30" s="64">
        <v>230100</v>
      </c>
      <c r="N30" s="63"/>
      <c r="O30" s="17">
        <f>SUM(งบดุลบัญชี!X33)</f>
        <v>768196.06</v>
      </c>
      <c r="P30" s="15" t="s">
        <v>297</v>
      </c>
      <c r="Q30" s="19"/>
      <c r="R30" s="64">
        <v>230100</v>
      </c>
      <c r="S30" s="64">
        <v>230100</v>
      </c>
      <c r="T30" s="63"/>
      <c r="U30" s="17">
        <f>SUM(งบดุลบัญชี!AD33)</f>
        <v>1037373.4</v>
      </c>
      <c r="V30" s="15" t="s">
        <v>297</v>
      </c>
      <c r="W30" s="19"/>
      <c r="X30" s="64">
        <v>230100</v>
      </c>
      <c r="Y30" s="64">
        <v>230100</v>
      </c>
      <c r="Z30" s="63"/>
      <c r="AA30" s="17">
        <f>SUM(งบดุลบัญชี!AJ33)</f>
        <v>1187565.74</v>
      </c>
      <c r="AB30" s="15" t="s">
        <v>297</v>
      </c>
      <c r="AC30" s="19"/>
      <c r="AD30" s="64">
        <v>230100</v>
      </c>
      <c r="AE30" s="213"/>
      <c r="AF30" s="75">
        <f>SUM(งบดุลบัญชี!AP33)</f>
        <v>1210194.84</v>
      </c>
      <c r="AG30" s="15" t="s">
        <v>297</v>
      </c>
      <c r="AH30" s="19"/>
      <c r="AI30" s="64">
        <v>230100</v>
      </c>
      <c r="AJ30" s="213"/>
      <c r="AK30" s="75">
        <f>+งบดุลบัญชี!AV33</f>
        <v>1668906.5999999999</v>
      </c>
      <c r="AL30" s="15" t="s">
        <v>297</v>
      </c>
      <c r="AM30" s="19"/>
      <c r="AN30" s="64">
        <v>230100</v>
      </c>
      <c r="AO30" s="213"/>
      <c r="AP30" s="75">
        <f>+งบดุลบัญชี!BB33</f>
        <v>1507378.5499999998</v>
      </c>
      <c r="AQ30" s="15" t="s">
        <v>297</v>
      </c>
      <c r="AR30" s="19"/>
      <c r="AS30" s="64">
        <v>230100</v>
      </c>
      <c r="AT30" s="213"/>
      <c r="AU30" s="213">
        <f>+งบดุลบัญชี!BN33</f>
        <v>1507378.5499999998</v>
      </c>
      <c r="AV30" s="15" t="s">
        <v>297</v>
      </c>
      <c r="AW30" s="19"/>
      <c r="AX30" s="64">
        <v>230100</v>
      </c>
      <c r="AY30" s="213"/>
      <c r="AZ30" s="213">
        <f>+งบดุลบัญชี!BT33</f>
        <v>1507378.5499999998</v>
      </c>
      <c r="BA30" s="15" t="s">
        <v>297</v>
      </c>
      <c r="BB30" s="19"/>
      <c r="BC30" s="64">
        <v>230100</v>
      </c>
      <c r="BD30" s="213"/>
      <c r="BE30" s="213">
        <f>+งบดุลบัญชี!BZ33</f>
        <v>1507378.5499999998</v>
      </c>
      <c r="BF30" s="15"/>
      <c r="BG30" s="19"/>
      <c r="BH30" s="64"/>
      <c r="BI30" s="213"/>
      <c r="BJ30" s="213"/>
    </row>
    <row r="31" spans="1:62" ht="15.75">
      <c r="A31" s="15" t="s">
        <v>298</v>
      </c>
      <c r="B31" s="19"/>
      <c r="C31" s="64">
        <v>210402</v>
      </c>
      <c r="D31" s="63"/>
      <c r="E31" s="17">
        <f>SUM(งบดุลบัญชี!L27)</f>
        <v>3616817</v>
      </c>
      <c r="F31" s="15" t="s">
        <v>298</v>
      </c>
      <c r="G31" s="19"/>
      <c r="H31" s="64">
        <v>210402</v>
      </c>
      <c r="I31" s="63"/>
      <c r="J31" s="17">
        <f>SUM(งบดุลบัญชี!R27)</f>
        <v>3565917</v>
      </c>
      <c r="K31" s="15" t="s">
        <v>298</v>
      </c>
      <c r="L31" s="19"/>
      <c r="M31" s="64">
        <v>210402</v>
      </c>
      <c r="N31" s="63"/>
      <c r="O31" s="17">
        <f>SUM(งบดุลบัญชี!X27)</f>
        <v>3180073</v>
      </c>
      <c r="P31" s="15" t="s">
        <v>298</v>
      </c>
      <c r="Q31" s="19"/>
      <c r="R31" s="64">
        <v>210402</v>
      </c>
      <c r="S31" s="64">
        <v>210402</v>
      </c>
      <c r="T31" s="63"/>
      <c r="U31" s="17">
        <f>SUM(งบดุลบัญชี!AD27)</f>
        <v>2856073</v>
      </c>
      <c r="V31" s="15" t="s">
        <v>298</v>
      </c>
      <c r="W31" s="19"/>
      <c r="X31" s="64">
        <v>210402</v>
      </c>
      <c r="Y31" s="64">
        <v>210402</v>
      </c>
      <c r="Z31" s="63"/>
      <c r="AA31" s="17">
        <f>SUM(งบดุลบัญชี!AJ27)</f>
        <v>2856073</v>
      </c>
      <c r="AB31" s="15" t="s">
        <v>298</v>
      </c>
      <c r="AC31" s="19"/>
      <c r="AD31" s="64">
        <v>210402</v>
      </c>
      <c r="AE31" s="213"/>
      <c r="AF31" s="75">
        <f>SUM(งบดุลบัญชี!AP27)</f>
        <v>2369773</v>
      </c>
      <c r="AG31" s="15" t="s">
        <v>298</v>
      </c>
      <c r="AH31" s="19"/>
      <c r="AI31" s="64">
        <v>210402</v>
      </c>
      <c r="AJ31" s="213"/>
      <c r="AK31" s="75">
        <f>+งบดุลบัญชี!AV27</f>
        <v>189273</v>
      </c>
      <c r="AL31" s="15" t="s">
        <v>298</v>
      </c>
      <c r="AM31" s="19"/>
      <c r="AN31" s="64">
        <v>210402</v>
      </c>
      <c r="AO31" s="213"/>
      <c r="AP31" s="75">
        <f>+งบดุลบัญชี!BB27</f>
        <v>189273</v>
      </c>
      <c r="AQ31" s="15" t="s">
        <v>298</v>
      </c>
      <c r="AR31" s="19"/>
      <c r="AS31" s="64">
        <v>210402</v>
      </c>
      <c r="AT31" s="213"/>
      <c r="AU31" s="213">
        <f>+งบดุลบัญชี!BN27</f>
        <v>189273</v>
      </c>
      <c r="AV31" s="15" t="s">
        <v>298</v>
      </c>
      <c r="AW31" s="19"/>
      <c r="AX31" s="64">
        <v>210402</v>
      </c>
      <c r="AY31" s="213"/>
      <c r="AZ31" s="213">
        <f>+งบดุลบัญชี!BT27</f>
        <v>189273</v>
      </c>
      <c r="BA31" s="15" t="s">
        <v>298</v>
      </c>
      <c r="BB31" s="19"/>
      <c r="BC31" s="64">
        <v>210402</v>
      </c>
      <c r="BD31" s="213"/>
      <c r="BE31" s="213">
        <f>+งบดุลบัญชี!BZ27</f>
        <v>189273</v>
      </c>
      <c r="BF31" s="15"/>
      <c r="BG31" s="19"/>
      <c r="BH31" s="64"/>
      <c r="BI31" s="213"/>
      <c r="BJ31" s="213"/>
    </row>
    <row r="32" spans="1:62" ht="15.75">
      <c r="A32" s="15"/>
      <c r="B32" s="19"/>
      <c r="C32" s="64"/>
      <c r="D32" s="63"/>
      <c r="E32" s="17"/>
      <c r="F32" s="15"/>
      <c r="G32" s="19"/>
      <c r="H32" s="64"/>
      <c r="I32" s="63"/>
      <c r="J32" s="17"/>
      <c r="K32" s="15"/>
      <c r="L32" s="19"/>
      <c r="M32" s="64"/>
      <c r="N32" s="63"/>
      <c r="O32" s="17"/>
      <c r="P32" s="15"/>
      <c r="Q32" s="19"/>
      <c r="R32" s="64"/>
      <c r="S32" s="64"/>
      <c r="T32" s="63"/>
      <c r="U32" s="17"/>
      <c r="V32" s="15"/>
      <c r="W32" s="19"/>
      <c r="X32" s="64"/>
      <c r="Y32" s="64"/>
      <c r="Z32" s="63"/>
      <c r="AA32" s="17"/>
      <c r="AB32" s="15"/>
      <c r="AC32" s="19"/>
      <c r="AD32" s="64"/>
      <c r="AE32" s="213"/>
      <c r="AF32" s="75"/>
      <c r="AG32" s="15" t="s">
        <v>575</v>
      </c>
      <c r="AH32" s="19"/>
      <c r="AI32" s="64">
        <v>220101</v>
      </c>
      <c r="AJ32" s="213"/>
      <c r="AK32" s="75">
        <f>+งบดุลบัญชี!AV29</f>
        <v>5436000</v>
      </c>
      <c r="AL32" s="15" t="s">
        <v>575</v>
      </c>
      <c r="AM32" s="19"/>
      <c r="AN32" s="64">
        <v>220101</v>
      </c>
      <c r="AO32" s="213"/>
      <c r="AP32" s="75">
        <f>+งบดุลบัญชี!BB29</f>
        <v>11628300</v>
      </c>
      <c r="AQ32" s="15"/>
      <c r="AR32" s="19"/>
      <c r="AS32" s="64"/>
      <c r="AT32" s="213"/>
      <c r="AU32" s="213"/>
      <c r="AV32" s="15"/>
      <c r="AW32" s="19"/>
      <c r="AX32" s="64"/>
      <c r="AY32" s="213"/>
      <c r="AZ32" s="213"/>
      <c r="BA32" s="15"/>
      <c r="BB32" s="19"/>
      <c r="BC32" s="64"/>
      <c r="BD32" s="213"/>
      <c r="BE32" s="213"/>
      <c r="BF32" s="15"/>
      <c r="BG32" s="19"/>
      <c r="BH32" s="64"/>
      <c r="BI32" s="213"/>
      <c r="BJ32" s="213"/>
    </row>
    <row r="33" spans="1:62" ht="15.75" hidden="1">
      <c r="A33" s="15" t="s">
        <v>89</v>
      </c>
      <c r="B33" s="19"/>
      <c r="C33" s="64">
        <v>210500</v>
      </c>
      <c r="D33" s="63"/>
      <c r="E33" s="17">
        <f>SUM(งบดุลบัญชี!L28)</f>
        <v>0</v>
      </c>
      <c r="F33" s="15" t="s">
        <v>89</v>
      </c>
      <c r="G33" s="19"/>
      <c r="H33" s="64">
        <v>210500</v>
      </c>
      <c r="I33" s="63"/>
      <c r="J33" s="17">
        <f>SUM(งบดุลบัญชี!R28)</f>
        <v>0</v>
      </c>
      <c r="K33" s="15" t="s">
        <v>89</v>
      </c>
      <c r="L33" s="19"/>
      <c r="M33" s="64">
        <v>210500</v>
      </c>
      <c r="N33" s="63"/>
      <c r="O33" s="17">
        <f>SUM(งบดุลบัญชี!X28)</f>
        <v>0</v>
      </c>
      <c r="P33" s="15" t="s">
        <v>89</v>
      </c>
      <c r="Q33" s="19"/>
      <c r="R33" s="64">
        <v>210500</v>
      </c>
      <c r="S33" s="64">
        <v>210500</v>
      </c>
      <c r="T33" s="63"/>
      <c r="U33" s="17">
        <f>SUM(งบดุลบัญชี!AD28)</f>
        <v>0</v>
      </c>
      <c r="V33" s="15" t="s">
        <v>89</v>
      </c>
      <c r="W33" s="19"/>
      <c r="X33" s="64">
        <v>210500</v>
      </c>
      <c r="Y33" s="64">
        <v>210500</v>
      </c>
      <c r="Z33" s="63"/>
      <c r="AA33" s="17">
        <f>SUM(งบดุลบัญชี!AJ28)</f>
        <v>0</v>
      </c>
      <c r="AB33" s="15" t="s">
        <v>89</v>
      </c>
      <c r="AC33" s="19"/>
      <c r="AD33" s="64">
        <v>210500</v>
      </c>
      <c r="AE33" s="213"/>
      <c r="AF33" s="75">
        <f>SUM(งบดุลบัญชี!AP28)</f>
        <v>0</v>
      </c>
      <c r="AG33" s="15" t="s">
        <v>89</v>
      </c>
      <c r="AH33" s="19"/>
      <c r="AI33" s="64">
        <v>210500</v>
      </c>
      <c r="AJ33" s="213"/>
      <c r="AK33" s="75">
        <v>0</v>
      </c>
      <c r="AL33" s="15" t="s">
        <v>89</v>
      </c>
      <c r="AM33" s="19"/>
      <c r="AN33" s="64">
        <v>210500</v>
      </c>
      <c r="AO33" s="213"/>
      <c r="AP33" s="75">
        <v>0</v>
      </c>
      <c r="AQ33" s="15" t="s">
        <v>89</v>
      </c>
      <c r="AR33" s="19"/>
      <c r="AS33" s="64">
        <v>210500</v>
      </c>
      <c r="AT33" s="213"/>
      <c r="AU33" s="75">
        <f>+งบดุลบัญชี!BN28</f>
        <v>0</v>
      </c>
      <c r="AV33" s="15" t="s">
        <v>89</v>
      </c>
      <c r="AW33" s="19"/>
      <c r="AX33" s="64">
        <v>210500</v>
      </c>
      <c r="AY33" s="213"/>
      <c r="AZ33" s="75">
        <f>+งบดุลบัญชี!BT28</f>
        <v>0</v>
      </c>
      <c r="BA33" s="15" t="s">
        <v>89</v>
      </c>
      <c r="BB33" s="19"/>
      <c r="BC33" s="64">
        <v>210500</v>
      </c>
      <c r="BD33" s="213"/>
      <c r="BE33" s="75">
        <f>+งบดุลบัญชี!BZ28</f>
        <v>0</v>
      </c>
      <c r="BF33" s="15"/>
      <c r="BG33" s="19"/>
      <c r="BH33" s="64"/>
      <c r="BI33" s="213"/>
      <c r="BJ33" s="75"/>
    </row>
    <row r="34" spans="1:62" ht="15.75">
      <c r="A34" s="15" t="s">
        <v>90</v>
      </c>
      <c r="B34" s="19"/>
      <c r="C34" s="64">
        <v>300000</v>
      </c>
      <c r="D34" s="63"/>
      <c r="E34" s="17">
        <f>SUM(งบดุลบัญชี!L46)</f>
        <v>8661528.73</v>
      </c>
      <c r="F34" s="15" t="s">
        <v>90</v>
      </c>
      <c r="G34" s="19"/>
      <c r="H34" s="64">
        <v>300000</v>
      </c>
      <c r="I34" s="63"/>
      <c r="J34" s="17">
        <f>SUM(งบดุลบัญชี!R46)</f>
        <v>8670828.200000001</v>
      </c>
      <c r="K34" s="15" t="s">
        <v>90</v>
      </c>
      <c r="L34" s="19"/>
      <c r="M34" s="64">
        <v>300000</v>
      </c>
      <c r="N34" s="63"/>
      <c r="O34" s="17">
        <f>SUM(งบดุลบัญชี!X46)</f>
        <v>8341980.370000001</v>
      </c>
      <c r="P34" s="15" t="s">
        <v>90</v>
      </c>
      <c r="Q34" s="19"/>
      <c r="R34" s="64">
        <v>300000</v>
      </c>
      <c r="S34" s="64">
        <v>300000</v>
      </c>
      <c r="T34" s="63"/>
      <c r="U34" s="17">
        <f>SUM(งบดุลบัญชี!AD46)</f>
        <v>8153480.370000001</v>
      </c>
      <c r="V34" s="15" t="s">
        <v>90</v>
      </c>
      <c r="W34" s="19"/>
      <c r="X34" s="64">
        <v>300000</v>
      </c>
      <c r="Y34" s="64">
        <v>300000</v>
      </c>
      <c r="Z34" s="63"/>
      <c r="AA34" s="17">
        <f>SUM(งบดุลบัญชี!AJ46)</f>
        <v>8153480.370000001</v>
      </c>
      <c r="AB34" s="15" t="s">
        <v>90</v>
      </c>
      <c r="AC34" s="19"/>
      <c r="AD34" s="64">
        <v>300000</v>
      </c>
      <c r="AE34" s="213"/>
      <c r="AF34" s="75">
        <f>SUM(งบดุลบัญชี!AP46)</f>
        <v>8153480.370000001</v>
      </c>
      <c r="AG34" s="15" t="s">
        <v>90</v>
      </c>
      <c r="AH34" s="19"/>
      <c r="AI34" s="64">
        <v>300000</v>
      </c>
      <c r="AJ34" s="213"/>
      <c r="AK34" s="75">
        <f>+งบดุลบัญชี!AV46</f>
        <v>8326828.200000001</v>
      </c>
      <c r="AL34" s="15" t="s">
        <v>90</v>
      </c>
      <c r="AM34" s="19"/>
      <c r="AN34" s="64">
        <v>300000</v>
      </c>
      <c r="AO34" s="213"/>
      <c r="AP34" s="75">
        <f>+งบดุลบัญชี!BB46</f>
        <v>8320628.200000001</v>
      </c>
      <c r="AQ34" s="15" t="s">
        <v>90</v>
      </c>
      <c r="AR34" s="19"/>
      <c r="AS34" s="64">
        <v>300000</v>
      </c>
      <c r="AT34" s="213"/>
      <c r="AU34" s="75">
        <f>+งบดุลบัญชี!BN46</f>
        <v>8320628.200000001</v>
      </c>
      <c r="AV34" s="15" t="s">
        <v>90</v>
      </c>
      <c r="AW34" s="19"/>
      <c r="AX34" s="64">
        <v>300000</v>
      </c>
      <c r="AY34" s="213"/>
      <c r="AZ34" s="75">
        <f>+งบดุลบัญชี!BT46</f>
        <v>8320628.200000001</v>
      </c>
      <c r="BA34" s="15" t="s">
        <v>90</v>
      </c>
      <c r="BB34" s="19"/>
      <c r="BC34" s="64">
        <v>300000</v>
      </c>
      <c r="BD34" s="213"/>
      <c r="BE34" s="75">
        <f>+งบดุลบัญชี!BZ46</f>
        <v>8320628.200000001</v>
      </c>
      <c r="BF34" s="15"/>
      <c r="BG34" s="19"/>
      <c r="BH34" s="64"/>
      <c r="BI34" s="213"/>
      <c r="BJ34" s="75"/>
    </row>
    <row r="35" spans="1:62" ht="15.75">
      <c r="A35" s="15" t="s">
        <v>320</v>
      </c>
      <c r="B35" s="19"/>
      <c r="C35" s="64">
        <v>320000</v>
      </c>
      <c r="D35" s="63"/>
      <c r="E35" s="17">
        <f>SUM(งบดุลบัญชี!L47)</f>
        <v>12774609.2</v>
      </c>
      <c r="F35" s="15" t="s">
        <v>320</v>
      </c>
      <c r="G35" s="19"/>
      <c r="H35" s="64">
        <v>320000</v>
      </c>
      <c r="I35" s="63"/>
      <c r="J35" s="17">
        <f>SUM(งบดุลบัญชี!R47)</f>
        <v>12774609.2</v>
      </c>
      <c r="K35" s="15" t="s">
        <v>320</v>
      </c>
      <c r="L35" s="19"/>
      <c r="M35" s="64">
        <v>320000</v>
      </c>
      <c r="N35" s="63"/>
      <c r="O35" s="17">
        <f>SUM(งบดุลบัญชี!X47)</f>
        <v>12774609.2</v>
      </c>
      <c r="P35" s="15" t="s">
        <v>320</v>
      </c>
      <c r="Q35" s="19"/>
      <c r="R35" s="64">
        <v>320000</v>
      </c>
      <c r="S35" s="64">
        <v>320000</v>
      </c>
      <c r="T35" s="63"/>
      <c r="U35" s="17">
        <f>SUM(งบดุลบัญชี!AD47)</f>
        <v>12774609.2</v>
      </c>
      <c r="V35" s="15" t="s">
        <v>320</v>
      </c>
      <c r="W35" s="19"/>
      <c r="X35" s="64">
        <v>320000</v>
      </c>
      <c r="Y35" s="64">
        <v>320000</v>
      </c>
      <c r="Z35" s="63"/>
      <c r="AA35" s="17">
        <f>SUM(งบดุลบัญชี!AJ47)</f>
        <v>12774609.2</v>
      </c>
      <c r="AB35" s="15" t="s">
        <v>320</v>
      </c>
      <c r="AC35" s="19"/>
      <c r="AD35" s="64">
        <v>320000</v>
      </c>
      <c r="AE35" s="213"/>
      <c r="AF35" s="75">
        <f>SUM(งบดุลบัญชี!AP47)</f>
        <v>12774609.2</v>
      </c>
      <c r="AG35" s="15" t="s">
        <v>320</v>
      </c>
      <c r="AH35" s="19"/>
      <c r="AI35" s="64">
        <v>320000</v>
      </c>
      <c r="AJ35" s="213"/>
      <c r="AK35" s="75">
        <f>+งบดุลบัญชี!AV47</f>
        <v>12774609.2</v>
      </c>
      <c r="AL35" s="15" t="s">
        <v>320</v>
      </c>
      <c r="AM35" s="19"/>
      <c r="AN35" s="64">
        <v>320000</v>
      </c>
      <c r="AO35" s="213"/>
      <c r="AP35" s="75">
        <f>+งบดุลบัญชี!BB47</f>
        <v>12774609.2</v>
      </c>
      <c r="AQ35" s="15" t="s">
        <v>320</v>
      </c>
      <c r="AR35" s="19"/>
      <c r="AS35" s="64">
        <v>320000</v>
      </c>
      <c r="AT35" s="213"/>
      <c r="AU35" s="75">
        <f>+งบดุลบัญชี!BN47</f>
        <v>12774609.2</v>
      </c>
      <c r="AV35" s="15" t="s">
        <v>320</v>
      </c>
      <c r="AW35" s="19"/>
      <c r="AX35" s="64">
        <v>320000</v>
      </c>
      <c r="AY35" s="213"/>
      <c r="AZ35" s="75">
        <f>+งบดุลบัญชี!BT47</f>
        <v>12774609.2</v>
      </c>
      <c r="BA35" s="15" t="s">
        <v>320</v>
      </c>
      <c r="BB35" s="19"/>
      <c r="BC35" s="64">
        <v>320000</v>
      </c>
      <c r="BD35" s="213"/>
      <c r="BE35" s="75">
        <f>+งบดุลบัญชี!BZ47</f>
        <v>12774609.2</v>
      </c>
      <c r="BF35" s="15"/>
      <c r="BG35" s="19"/>
      <c r="BH35" s="64"/>
      <c r="BI35" s="213"/>
      <c r="BJ35" s="75"/>
    </row>
    <row r="36" spans="1:62" ht="17.25" customHeight="1">
      <c r="A36" s="15"/>
      <c r="B36" s="19"/>
      <c r="C36" s="413"/>
      <c r="D36" s="17"/>
      <c r="E36" s="17"/>
      <c r="F36" s="126"/>
      <c r="G36" s="127"/>
      <c r="H36" s="413"/>
      <c r="I36" s="120"/>
      <c r="J36" s="120"/>
      <c r="K36" s="126"/>
      <c r="L36" s="127"/>
      <c r="M36" s="413"/>
      <c r="N36" s="120"/>
      <c r="O36" s="120"/>
      <c r="P36" s="126" t="str">
        <f>+V36</f>
        <v>เงินเกินบัญชี</v>
      </c>
      <c r="Q36" s="127"/>
      <c r="R36" s="470"/>
      <c r="S36" s="470"/>
      <c r="T36" s="120"/>
      <c r="U36" s="120"/>
      <c r="V36" s="15" t="s">
        <v>289</v>
      </c>
      <c r="W36" s="19"/>
      <c r="X36" s="16"/>
      <c r="Y36" s="413"/>
      <c r="Z36" s="17"/>
      <c r="AA36" s="17">
        <f>+งบดุลบัญชี!AJ163</f>
        <v>10.8</v>
      </c>
      <c r="AB36" s="15" t="s">
        <v>289</v>
      </c>
      <c r="AC36" s="19"/>
      <c r="AD36" s="413">
        <v>230200</v>
      </c>
      <c r="AE36" s="75"/>
      <c r="AF36" s="75">
        <f>+งบดุลบัญชี!AP163</f>
        <v>0</v>
      </c>
      <c r="AG36" s="15" t="s">
        <v>289</v>
      </c>
      <c r="AH36" s="19"/>
      <c r="AI36" s="413">
        <v>230200</v>
      </c>
      <c r="AJ36" s="75"/>
      <c r="AK36" s="75">
        <f>+งบดุลบัญชี!AV163</f>
        <v>0</v>
      </c>
      <c r="AL36" s="15" t="s">
        <v>289</v>
      </c>
      <c r="AM36" s="19"/>
      <c r="AN36" s="413">
        <v>230200</v>
      </c>
      <c r="AO36" s="75"/>
      <c r="AP36" s="75">
        <f>+งบดุลบัญชี!BA163</f>
        <v>0</v>
      </c>
      <c r="AQ36" s="15" t="s">
        <v>289</v>
      </c>
      <c r="AR36" s="19"/>
      <c r="AS36" s="413">
        <v>230200</v>
      </c>
      <c r="AT36" s="75"/>
      <c r="AU36" s="75">
        <f>+งบดุลบัญชี!BF163</f>
        <v>0</v>
      </c>
      <c r="AV36" s="15" t="s">
        <v>289</v>
      </c>
      <c r="AW36" s="19"/>
      <c r="AX36" s="413">
        <v>230200</v>
      </c>
      <c r="AY36" s="75"/>
      <c r="AZ36" s="75">
        <f>+งบดุลบัญชี!BK163</f>
        <v>0</v>
      </c>
      <c r="BA36" s="15" t="s">
        <v>289</v>
      </c>
      <c r="BB36" s="19"/>
      <c r="BC36" s="413">
        <v>230200</v>
      </c>
      <c r="BD36" s="75"/>
      <c r="BE36" s="75">
        <f>+งบดุลบัญชี!BP163</f>
        <v>0</v>
      </c>
      <c r="BF36" s="15" t="s">
        <v>289</v>
      </c>
      <c r="BG36" s="19"/>
      <c r="BH36" s="413">
        <v>230200</v>
      </c>
      <c r="BI36" s="75"/>
      <c r="BJ36" s="75">
        <f>+งบดุลบัญชี!BU163</f>
        <v>0</v>
      </c>
    </row>
    <row r="37" spans="1:62" ht="15.75" customHeight="1" hidden="1">
      <c r="A37" s="15"/>
      <c r="B37" s="19"/>
      <c r="C37" s="413"/>
      <c r="D37" s="17"/>
      <c r="E37" s="17"/>
      <c r="F37" s="126"/>
      <c r="G37" s="127"/>
      <c r="H37" s="413"/>
      <c r="I37" s="121"/>
      <c r="J37" s="121"/>
      <c r="K37" s="126"/>
      <c r="L37" s="127"/>
      <c r="M37" s="413"/>
      <c r="N37" s="121"/>
      <c r="O37" s="121"/>
      <c r="P37" s="471" t="s">
        <v>36</v>
      </c>
      <c r="Q37" s="472"/>
      <c r="R37" s="470" t="s">
        <v>34</v>
      </c>
      <c r="S37" s="470"/>
      <c r="T37" s="470" t="s">
        <v>35</v>
      </c>
      <c r="U37" s="470"/>
      <c r="V37" s="15"/>
      <c r="W37" s="19"/>
      <c r="X37" s="16"/>
      <c r="Y37" s="413"/>
      <c r="Z37" s="17"/>
      <c r="AA37" s="17"/>
      <c r="AB37" s="15"/>
      <c r="AC37" s="19"/>
      <c r="AD37" s="413"/>
      <c r="AE37" s="75"/>
      <c r="AF37" s="75"/>
      <c r="AG37" s="15"/>
      <c r="AH37" s="19"/>
      <c r="AI37" s="413"/>
      <c r="AJ37" s="75"/>
      <c r="AK37" s="75"/>
      <c r="AL37" s="15"/>
      <c r="AM37" s="19"/>
      <c r="AN37" s="413"/>
      <c r="AO37" s="75"/>
      <c r="AP37" s="75"/>
      <c r="AQ37" s="15"/>
      <c r="AR37" s="19"/>
      <c r="AS37" s="413"/>
      <c r="AT37" s="75"/>
      <c r="AU37" s="75"/>
      <c r="AV37" s="15"/>
      <c r="AW37" s="19"/>
      <c r="AX37" s="413"/>
      <c r="AY37" s="75"/>
      <c r="AZ37" s="75"/>
      <c r="BA37" s="15"/>
      <c r="BB37" s="19"/>
      <c r="BC37" s="413"/>
      <c r="BD37" s="75"/>
      <c r="BE37" s="75"/>
      <c r="BF37" s="15"/>
      <c r="BG37" s="19"/>
      <c r="BH37" s="413"/>
      <c r="BI37" s="75"/>
      <c r="BJ37" s="75"/>
    </row>
    <row r="38" spans="1:62" ht="15.75" hidden="1">
      <c r="A38" s="15"/>
      <c r="B38" s="19"/>
      <c r="C38" s="413"/>
      <c r="D38" s="17"/>
      <c r="E38" s="17"/>
      <c r="H38" s="79"/>
      <c r="I38" s="79"/>
      <c r="J38" s="17"/>
      <c r="M38" s="79"/>
      <c r="N38" s="79"/>
      <c r="O38" s="17"/>
      <c r="P38" s="15"/>
      <c r="Q38" s="19"/>
      <c r="R38" s="79"/>
      <c r="S38" s="79"/>
      <c r="T38" s="79"/>
      <c r="U38" s="17"/>
      <c r="V38" s="15"/>
      <c r="W38" s="19"/>
      <c r="X38" s="16"/>
      <c r="Y38" s="413"/>
      <c r="Z38" s="17"/>
      <c r="AA38" s="17"/>
      <c r="AB38" s="15"/>
      <c r="AC38" s="19"/>
      <c r="AD38" s="413"/>
      <c r="AE38" s="75"/>
      <c r="AF38" s="75"/>
      <c r="AG38" s="15"/>
      <c r="AH38" s="19"/>
      <c r="AI38" s="413"/>
      <c r="AJ38" s="75"/>
      <c r="AK38" s="75"/>
      <c r="AL38" s="15"/>
      <c r="AM38" s="19"/>
      <c r="AN38" s="413"/>
      <c r="AO38" s="75"/>
      <c r="AP38" s="75"/>
      <c r="AQ38" s="15"/>
      <c r="AR38" s="19"/>
      <c r="AS38" s="413"/>
      <c r="AT38" s="75"/>
      <c r="AU38" s="75"/>
      <c r="AV38" s="15"/>
      <c r="AW38" s="19"/>
      <c r="AX38" s="413"/>
      <c r="AY38" s="75"/>
      <c r="AZ38" s="75"/>
      <c r="BA38" s="15"/>
      <c r="BB38" s="19"/>
      <c r="BC38" s="413"/>
      <c r="BD38" s="75"/>
      <c r="BE38" s="75"/>
      <c r="BF38" s="15"/>
      <c r="BG38" s="19"/>
      <c r="BH38" s="413"/>
      <c r="BI38" s="75"/>
      <c r="BJ38" s="75"/>
    </row>
    <row r="39" spans="1:62" ht="15.75" hidden="1">
      <c r="A39" s="15"/>
      <c r="B39" s="19"/>
      <c r="C39" s="413"/>
      <c r="D39" s="17"/>
      <c r="E39" s="17"/>
      <c r="H39" s="79"/>
      <c r="I39" s="79"/>
      <c r="J39" s="17"/>
      <c r="M39" s="79"/>
      <c r="N39" s="79"/>
      <c r="O39" s="17"/>
      <c r="P39" s="15"/>
      <c r="Q39" s="19"/>
      <c r="R39" s="79"/>
      <c r="S39" s="79"/>
      <c r="T39" s="79"/>
      <c r="U39" s="17"/>
      <c r="V39" s="15"/>
      <c r="W39" s="19"/>
      <c r="X39" s="16"/>
      <c r="Y39" s="413"/>
      <c r="Z39" s="17"/>
      <c r="AA39" s="17"/>
      <c r="AB39" s="15"/>
      <c r="AC39" s="19"/>
      <c r="AD39" s="413"/>
      <c r="AE39" s="75"/>
      <c r="AF39" s="75"/>
      <c r="AG39" s="15"/>
      <c r="AH39" s="19"/>
      <c r="AI39" s="413"/>
      <c r="AJ39" s="75"/>
      <c r="AK39" s="75"/>
      <c r="AL39" s="15"/>
      <c r="AM39" s="19"/>
      <c r="AN39" s="413"/>
      <c r="AO39" s="75"/>
      <c r="AP39" s="75"/>
      <c r="AQ39" s="15"/>
      <c r="AR39" s="19"/>
      <c r="AS39" s="413"/>
      <c r="AT39" s="75"/>
      <c r="AU39" s="75"/>
      <c r="AV39" s="15"/>
      <c r="AW39" s="19"/>
      <c r="AX39" s="413"/>
      <c r="AY39" s="75"/>
      <c r="AZ39" s="75"/>
      <c r="BA39" s="15"/>
      <c r="BB39" s="19"/>
      <c r="BC39" s="413"/>
      <c r="BD39" s="75"/>
      <c r="BE39" s="75"/>
      <c r="BF39" s="15"/>
      <c r="BG39" s="19"/>
      <c r="BH39" s="413"/>
      <c r="BI39" s="75"/>
      <c r="BJ39" s="75"/>
    </row>
    <row r="40" spans="1:62" ht="9.75" customHeight="1">
      <c r="A40" s="10"/>
      <c r="B40" s="70"/>
      <c r="C40" s="65"/>
      <c r="D40" s="17"/>
      <c r="E40" s="17"/>
      <c r="F40" s="10"/>
      <c r="G40" s="70"/>
      <c r="H40" s="78"/>
      <c r="I40" s="79"/>
      <c r="J40" s="17"/>
      <c r="K40" s="10"/>
      <c r="L40" s="70"/>
      <c r="M40" s="78"/>
      <c r="N40" s="79"/>
      <c r="O40" s="17"/>
      <c r="P40" s="10"/>
      <c r="Q40" s="70"/>
      <c r="R40" s="78"/>
      <c r="S40" s="78"/>
      <c r="T40" s="78"/>
      <c r="U40" s="34"/>
      <c r="V40" s="10"/>
      <c r="W40" s="70"/>
      <c r="X40" s="11"/>
      <c r="Y40" s="65"/>
      <c r="Z40" s="17"/>
      <c r="AA40" s="17"/>
      <c r="AB40" s="10"/>
      <c r="AC40" s="70"/>
      <c r="AD40" s="65"/>
      <c r="AE40" s="75"/>
      <c r="AF40" s="75"/>
      <c r="AG40" s="10"/>
      <c r="AH40" s="70"/>
      <c r="AI40" s="65"/>
      <c r="AJ40" s="75"/>
      <c r="AK40" s="75"/>
      <c r="AL40" s="10"/>
      <c r="AM40" s="70"/>
      <c r="AN40" s="65"/>
      <c r="AO40" s="75"/>
      <c r="AP40" s="75"/>
      <c r="AQ40" s="10"/>
      <c r="AR40" s="70"/>
      <c r="AS40" s="65"/>
      <c r="AT40" s="75"/>
      <c r="AU40" s="75"/>
      <c r="AV40" s="10"/>
      <c r="AW40" s="70"/>
      <c r="AX40" s="65"/>
      <c r="AY40" s="75"/>
      <c r="AZ40" s="75"/>
      <c r="BA40" s="10"/>
      <c r="BB40" s="70"/>
      <c r="BC40" s="65"/>
      <c r="BD40" s="75"/>
      <c r="BE40" s="75"/>
      <c r="BF40" s="10"/>
      <c r="BG40" s="70"/>
      <c r="BH40" s="65"/>
      <c r="BI40" s="75"/>
      <c r="BJ40" s="75"/>
    </row>
    <row r="41" spans="1:62" ht="16.5" thickBot="1">
      <c r="A41" s="19"/>
      <c r="B41" s="19"/>
      <c r="C41" s="16"/>
      <c r="D41" s="66">
        <f>SUM(D5:D40)</f>
        <v>27434349.049999997</v>
      </c>
      <c r="E41" s="66">
        <f>SUM(E5:E40)</f>
        <v>27434349.05</v>
      </c>
      <c r="H41" s="21"/>
      <c r="I41" s="122">
        <f>SUM(I5:I40)</f>
        <v>35145326.06999999</v>
      </c>
      <c r="J41" s="122">
        <f>SUM(J5:J40)</f>
        <v>35145326.07</v>
      </c>
      <c r="M41" s="21"/>
      <c r="N41" s="122">
        <f>SUM(N5:N40)</f>
        <v>43218860.819999985</v>
      </c>
      <c r="O41" s="122">
        <f>SUM(O5:O40)</f>
        <v>43218860.82</v>
      </c>
      <c r="T41" s="122">
        <f>SUM(T5:T40)</f>
        <v>47223996.919999994</v>
      </c>
      <c r="U41" s="128">
        <f>SUM(U5:U40)</f>
        <v>47223996.92</v>
      </c>
      <c r="V41" s="19"/>
      <c r="W41" s="19"/>
      <c r="X41" s="19"/>
      <c r="Y41" s="16"/>
      <c r="Z41" s="66">
        <f>SUM(Z5:Z40)</f>
        <v>49316395.599999994</v>
      </c>
      <c r="AA41" s="66">
        <f>SUM(AA5:AA40)</f>
        <v>49316395.599999994</v>
      </c>
      <c r="AB41" s="19"/>
      <c r="AC41" s="19"/>
      <c r="AD41" s="16"/>
      <c r="AE41" s="387">
        <f>SUM(AE5:AE40)</f>
        <v>60467481.28999999</v>
      </c>
      <c r="AF41" s="387">
        <f>SUM(AF5:AF40)</f>
        <v>60467481.29000001</v>
      </c>
      <c r="AG41" s="19"/>
      <c r="AH41" s="19"/>
      <c r="AI41" s="16"/>
      <c r="AJ41" s="66">
        <f>SUM(AJ5:AJ40)</f>
        <v>68195934.38</v>
      </c>
      <c r="AK41" s="66">
        <f>SUM(AK5:AK40)</f>
        <v>68195934.38000001</v>
      </c>
      <c r="AL41" s="19"/>
      <c r="AM41" s="19"/>
      <c r="AN41" s="16"/>
      <c r="AO41" s="66">
        <f>SUM(AO5:AO40)</f>
        <v>77324916.94</v>
      </c>
      <c r="AP41" s="66">
        <f>SUM(AP5:AP40)</f>
        <v>77324916.94</v>
      </c>
      <c r="AQ41" s="19"/>
      <c r="AR41" s="19"/>
      <c r="AS41" s="16"/>
      <c r="AT41" s="66">
        <f>SUM(AT5:AT40)</f>
        <v>51491409.32999999</v>
      </c>
      <c r="AU41" s="66">
        <f>SUM(AU5:AU40)</f>
        <v>63716616.94</v>
      </c>
      <c r="AV41" s="19"/>
      <c r="AW41" s="19"/>
      <c r="AX41" s="16"/>
      <c r="AY41" s="66">
        <f>SUM(AY5:AY40)</f>
        <v>51491409.32999999</v>
      </c>
      <c r="AZ41" s="66">
        <f>SUM(AZ5:AZ40)</f>
        <v>63716616.94</v>
      </c>
      <c r="BA41" s="19"/>
      <c r="BB41" s="19"/>
      <c r="BC41" s="16"/>
      <c r="BD41" s="66">
        <f>SUM(BD5:BD40)</f>
        <v>51491409.32999999</v>
      </c>
      <c r="BE41" s="66">
        <f>SUM(BE5:BE40)</f>
        <v>63716616.94</v>
      </c>
      <c r="BF41" s="19"/>
      <c r="BG41" s="19"/>
      <c r="BH41" s="16"/>
      <c r="BI41" s="66">
        <f>SUM(BI5:BI40)</f>
        <v>35999106.9</v>
      </c>
      <c r="BJ41" s="66">
        <f>SUM(BJ5:BJ40)</f>
        <v>9828006.75</v>
      </c>
    </row>
    <row r="42" spans="1:62" ht="16.5" thickTop="1">
      <c r="A42" s="19"/>
      <c r="B42" s="19"/>
      <c r="C42" s="19"/>
      <c r="D42" s="67"/>
      <c r="E42" s="67"/>
      <c r="H42" s="19"/>
      <c r="I42" s="381"/>
      <c r="J42" s="381"/>
      <c r="M42" s="19"/>
      <c r="N42" s="381"/>
      <c r="O42" s="381"/>
      <c r="T42" s="381"/>
      <c r="U42" s="317"/>
      <c r="V42" s="19"/>
      <c r="W42" s="19"/>
      <c r="X42" s="19"/>
      <c r="Y42" s="19"/>
      <c r="Z42" s="67"/>
      <c r="AA42" s="67"/>
      <c r="AB42" s="19"/>
      <c r="AC42" s="19"/>
      <c r="AD42" s="19"/>
      <c r="AE42" s="388"/>
      <c r="AF42" s="388"/>
      <c r="AG42" s="19"/>
      <c r="AH42" s="19"/>
      <c r="AI42" s="19"/>
      <c r="AJ42" s="67"/>
      <c r="AK42" s="67"/>
      <c r="AL42" s="19"/>
      <c r="AM42" s="19"/>
      <c r="AN42" s="19"/>
      <c r="AO42" s="67"/>
      <c r="AP42" s="67"/>
      <c r="AQ42" s="19"/>
      <c r="AR42" s="19"/>
      <c r="AS42" s="19"/>
      <c r="AT42" s="67"/>
      <c r="AU42" s="67"/>
      <c r="AV42" s="19"/>
      <c r="AW42" s="19"/>
      <c r="AX42" s="19"/>
      <c r="AY42" s="67"/>
      <c r="AZ42" s="67"/>
      <c r="BA42" s="19"/>
      <c r="BB42" s="19"/>
      <c r="BC42" s="19"/>
      <c r="BD42" s="67"/>
      <c r="BE42" s="67"/>
      <c r="BF42" s="19"/>
      <c r="BG42" s="19"/>
      <c r="BH42" s="19"/>
      <c r="BI42" s="67"/>
      <c r="BJ42" s="67"/>
    </row>
    <row r="43" spans="1:62" ht="15.75">
      <c r="A43" s="19"/>
      <c r="B43" s="19"/>
      <c r="C43" s="19"/>
      <c r="D43" s="67"/>
      <c r="E43" s="67"/>
      <c r="V43" s="19"/>
      <c r="W43" s="19"/>
      <c r="X43" s="19"/>
      <c r="Y43" s="19"/>
      <c r="Z43" s="67"/>
      <c r="AA43" s="67"/>
      <c r="AB43" s="412" t="s">
        <v>387</v>
      </c>
      <c r="AC43" s="214" t="str">
        <f>+AB43</f>
        <v>ลงชื่อ................................................</v>
      </c>
      <c r="AD43" s="44"/>
      <c r="AE43" s="388" t="str">
        <f>+AC43</f>
        <v>ลงชื่อ................................................</v>
      </c>
      <c r="AF43" s="388"/>
      <c r="AG43" s="412" t="s">
        <v>387</v>
      </c>
      <c r="AH43" s="214" t="str">
        <f>+AG43</f>
        <v>ลงชื่อ................................................</v>
      </c>
      <c r="AI43" s="44"/>
      <c r="AJ43" s="67" t="str">
        <f>+AH43</f>
        <v>ลงชื่อ................................................</v>
      </c>
      <c r="AK43" s="67"/>
      <c r="AL43" s="44" t="s">
        <v>387</v>
      </c>
      <c r="AM43" s="214" t="str">
        <f>+AL43</f>
        <v>ลงชื่อ................................................</v>
      </c>
      <c r="AN43" s="44"/>
      <c r="AO43" s="67" t="str">
        <f>+AM43</f>
        <v>ลงชื่อ................................................</v>
      </c>
      <c r="AP43" s="67"/>
      <c r="AQ43" s="412" t="s">
        <v>438</v>
      </c>
      <c r="AR43" s="464" t="str">
        <f>+AQ43</f>
        <v>ลงชื่อ........................................................</v>
      </c>
      <c r="AS43" s="464"/>
      <c r="AT43" s="67" t="str">
        <f>+AR43</f>
        <v>ลงชื่อ........................................................</v>
      </c>
      <c r="AU43" s="67"/>
      <c r="AV43" s="412" t="s">
        <v>438</v>
      </c>
      <c r="AW43" s="464" t="str">
        <f>+AV43</f>
        <v>ลงชื่อ........................................................</v>
      </c>
      <c r="AX43" s="464"/>
      <c r="AY43" s="67" t="str">
        <f>+AW43</f>
        <v>ลงชื่อ........................................................</v>
      </c>
      <c r="AZ43" s="67"/>
      <c r="BA43" s="412" t="s">
        <v>438</v>
      </c>
      <c r="BB43" s="464" t="str">
        <f>+BA43</f>
        <v>ลงชื่อ........................................................</v>
      </c>
      <c r="BC43" s="464"/>
      <c r="BD43" s="67" t="str">
        <f>+BB43</f>
        <v>ลงชื่อ........................................................</v>
      </c>
      <c r="BE43" s="67"/>
      <c r="BF43" s="412" t="s">
        <v>438</v>
      </c>
      <c r="BG43" s="464" t="str">
        <f>+BF43</f>
        <v>ลงชื่อ........................................................</v>
      </c>
      <c r="BH43" s="464"/>
      <c r="BI43" s="67" t="str">
        <f>+BG43</f>
        <v>ลงชื่อ........................................................</v>
      </c>
      <c r="BJ43" s="67"/>
    </row>
    <row r="44" spans="1:62" ht="15.75">
      <c r="A44" s="19"/>
      <c r="B44" s="19"/>
      <c r="C44" s="19"/>
      <c r="D44" s="67"/>
      <c r="E44" s="67"/>
      <c r="V44" s="19"/>
      <c r="W44" s="19"/>
      <c r="X44" s="19"/>
      <c r="Y44" s="19"/>
      <c r="Z44" s="67"/>
      <c r="AA44" s="67"/>
      <c r="AB44" s="44"/>
      <c r="AC44" s="44"/>
      <c r="AD44" s="44"/>
      <c r="AE44" s="388"/>
      <c r="AF44" s="388"/>
      <c r="AG44" s="44"/>
      <c r="AH44" s="44"/>
      <c r="AI44" s="44"/>
      <c r="AJ44" s="67"/>
      <c r="AK44" s="67"/>
      <c r="AL44" s="44"/>
      <c r="AM44" s="44"/>
      <c r="AN44" s="44"/>
      <c r="AO44" s="67"/>
      <c r="AP44" s="67"/>
      <c r="AQ44" s="44"/>
      <c r="AR44" s="44"/>
      <c r="AS44" s="44"/>
      <c r="AT44" s="67"/>
      <c r="AU44" s="67"/>
      <c r="AV44" s="44"/>
      <c r="AW44" s="44"/>
      <c r="AX44" s="44"/>
      <c r="AY44" s="67"/>
      <c r="AZ44" s="67"/>
      <c r="BA44" s="44"/>
      <c r="BB44" s="44"/>
      <c r="BC44" s="44"/>
      <c r="BD44" s="67"/>
      <c r="BE44" s="67"/>
      <c r="BF44" s="44"/>
      <c r="BG44" s="44"/>
      <c r="BH44" s="44"/>
      <c r="BI44" s="67"/>
      <c r="BJ44" s="67"/>
    </row>
    <row r="45" spans="1:62" s="31" customFormat="1" ht="15.75">
      <c r="A45" s="412" t="s">
        <v>370</v>
      </c>
      <c r="B45" s="464" t="s">
        <v>33</v>
      </c>
      <c r="C45" s="464"/>
      <c r="D45" s="468" t="s">
        <v>356</v>
      </c>
      <c r="E45" s="468"/>
      <c r="F45" s="412" t="s">
        <v>370</v>
      </c>
      <c r="G45" s="464" t="s">
        <v>33</v>
      </c>
      <c r="H45" s="464"/>
      <c r="I45" s="468" t="s">
        <v>327</v>
      </c>
      <c r="J45" s="468"/>
      <c r="K45" s="412" t="s">
        <v>370</v>
      </c>
      <c r="L45" s="464" t="s">
        <v>33</v>
      </c>
      <c r="M45" s="464"/>
      <c r="N45" s="468" t="s">
        <v>327</v>
      </c>
      <c r="O45" s="468"/>
      <c r="P45" s="412" t="s">
        <v>370</v>
      </c>
      <c r="Q45" s="464" t="s">
        <v>33</v>
      </c>
      <c r="R45" s="464"/>
      <c r="T45" s="468" t="s">
        <v>327</v>
      </c>
      <c r="U45" s="468"/>
      <c r="V45" s="412" t="s">
        <v>370</v>
      </c>
      <c r="W45" s="464" t="s">
        <v>33</v>
      </c>
      <c r="X45" s="464"/>
      <c r="Z45" s="468" t="s">
        <v>327</v>
      </c>
      <c r="AA45" s="468"/>
      <c r="AB45" s="412" t="s">
        <v>370</v>
      </c>
      <c r="AC45" s="464" t="s">
        <v>33</v>
      </c>
      <c r="AD45" s="464"/>
      <c r="AE45" s="389" t="s">
        <v>327</v>
      </c>
      <c r="AF45" s="105"/>
      <c r="AG45" s="412" t="s">
        <v>370</v>
      </c>
      <c r="AH45" s="464" t="s">
        <v>585</v>
      </c>
      <c r="AI45" s="464"/>
      <c r="AJ45" s="215" t="s">
        <v>327</v>
      </c>
      <c r="AK45" s="96"/>
      <c r="AL45" s="412" t="s">
        <v>33</v>
      </c>
      <c r="AM45" s="464" t="s">
        <v>33</v>
      </c>
      <c r="AN45" s="464"/>
      <c r="AO45" s="215" t="s">
        <v>327</v>
      </c>
      <c r="AP45" s="96"/>
      <c r="AQ45" s="412" t="s">
        <v>370</v>
      </c>
      <c r="AR45" s="464" t="s">
        <v>33</v>
      </c>
      <c r="AS45" s="464"/>
      <c r="AT45" s="215" t="s">
        <v>327</v>
      </c>
      <c r="AU45" s="96"/>
      <c r="AV45" s="412" t="s">
        <v>370</v>
      </c>
      <c r="AW45" s="464" t="s">
        <v>33</v>
      </c>
      <c r="AX45" s="464"/>
      <c r="AY45" s="215" t="s">
        <v>327</v>
      </c>
      <c r="AZ45" s="96"/>
      <c r="BA45" s="412" t="s">
        <v>370</v>
      </c>
      <c r="BB45" s="464" t="s">
        <v>33</v>
      </c>
      <c r="BC45" s="464"/>
      <c r="BD45" s="215" t="s">
        <v>327</v>
      </c>
      <c r="BE45" s="96"/>
      <c r="BF45" s="412" t="s">
        <v>370</v>
      </c>
      <c r="BG45" s="464" t="s">
        <v>33</v>
      </c>
      <c r="BH45" s="464"/>
      <c r="BI45" s="215" t="s">
        <v>327</v>
      </c>
      <c r="BJ45" s="96"/>
    </row>
    <row r="46" spans="1:62" s="31" customFormat="1" ht="15.75">
      <c r="A46" s="412" t="s">
        <v>436</v>
      </c>
      <c r="B46" s="464" t="s">
        <v>34</v>
      </c>
      <c r="C46" s="464"/>
      <c r="D46" s="462" t="s">
        <v>38</v>
      </c>
      <c r="E46" s="462"/>
      <c r="F46" s="412" t="s">
        <v>436</v>
      </c>
      <c r="G46" s="464" t="s">
        <v>267</v>
      </c>
      <c r="H46" s="464"/>
      <c r="I46" s="462" t="s">
        <v>38</v>
      </c>
      <c r="J46" s="462"/>
      <c r="K46" s="412" t="s">
        <v>436</v>
      </c>
      <c r="L46" s="464" t="s">
        <v>34</v>
      </c>
      <c r="M46" s="464"/>
      <c r="N46" s="462" t="s">
        <v>38</v>
      </c>
      <c r="O46" s="462"/>
      <c r="P46" s="411" t="str">
        <f>+K46</f>
        <v>หัวหน้าฝ่ายบริหารงานคลัง รักษาราชการแทน</v>
      </c>
      <c r="Q46" s="464" t="s">
        <v>34</v>
      </c>
      <c r="R46" s="464"/>
      <c r="T46" s="462" t="s">
        <v>38</v>
      </c>
      <c r="U46" s="462"/>
      <c r="V46" s="411" t="str">
        <f>+P46</f>
        <v>หัวหน้าฝ่ายบริหารงานคลัง รักษาราชการแทน</v>
      </c>
      <c r="W46" s="464" t="s">
        <v>34</v>
      </c>
      <c r="X46" s="464"/>
      <c r="Z46" s="462" t="s">
        <v>38</v>
      </c>
      <c r="AA46" s="462"/>
      <c r="AB46" s="411" t="str">
        <f>+V46</f>
        <v>หัวหน้าฝ่ายบริหารงานคลัง รักษาราชการแทน</v>
      </c>
      <c r="AC46" s="464" t="s">
        <v>34</v>
      </c>
      <c r="AD46" s="464"/>
      <c r="AE46" s="390" t="s">
        <v>38</v>
      </c>
      <c r="AF46" s="105"/>
      <c r="AG46" s="411" t="str">
        <f>+AB46</f>
        <v>หัวหน้าฝ่ายบริหารงานคลัง รักษาราชการแทน</v>
      </c>
      <c r="AH46" s="464" t="s">
        <v>586</v>
      </c>
      <c r="AI46" s="464"/>
      <c r="AJ46" s="216" t="s">
        <v>38</v>
      </c>
      <c r="AK46" s="96"/>
      <c r="AL46" s="411" t="s">
        <v>592</v>
      </c>
      <c r="AM46" s="464" t="s">
        <v>34</v>
      </c>
      <c r="AN46" s="464"/>
      <c r="AO46" s="216" t="s">
        <v>38</v>
      </c>
      <c r="AP46" s="96"/>
      <c r="AQ46" s="412" t="s">
        <v>436</v>
      </c>
      <c r="AR46" s="464" t="str">
        <f>+AM46</f>
        <v>ปลัดเทศบาล</v>
      </c>
      <c r="AS46" s="464"/>
      <c r="AT46" s="286" t="s">
        <v>38</v>
      </c>
      <c r="AU46" s="96"/>
      <c r="AV46" s="412" t="s">
        <v>436</v>
      </c>
      <c r="AW46" s="464" t="str">
        <f>+AR46</f>
        <v>ปลัดเทศบาล</v>
      </c>
      <c r="AX46" s="464"/>
      <c r="AY46" s="286" t="s">
        <v>38</v>
      </c>
      <c r="AZ46" s="96"/>
      <c r="BA46" s="412" t="s">
        <v>436</v>
      </c>
      <c r="BB46" s="464" t="str">
        <f>+AW46</f>
        <v>ปลัดเทศบาล</v>
      </c>
      <c r="BC46" s="464"/>
      <c r="BD46" s="286" t="s">
        <v>38</v>
      </c>
      <c r="BE46" s="96"/>
      <c r="BF46" s="412" t="s">
        <v>436</v>
      </c>
      <c r="BG46" s="464" t="str">
        <f>+BB46</f>
        <v>ปลัดเทศบาล</v>
      </c>
      <c r="BH46" s="464"/>
      <c r="BI46" s="286" t="s">
        <v>38</v>
      </c>
      <c r="BJ46" s="96"/>
    </row>
    <row r="47" spans="1:61" s="31" customFormat="1" ht="15.75">
      <c r="A47" s="412" t="s">
        <v>437</v>
      </c>
      <c r="D47" s="462"/>
      <c r="E47" s="462"/>
      <c r="F47" s="412" t="s">
        <v>437</v>
      </c>
      <c r="I47" s="462"/>
      <c r="J47" s="462"/>
      <c r="K47" s="412" t="s">
        <v>437</v>
      </c>
      <c r="O47" s="96"/>
      <c r="P47" s="411" t="str">
        <f>+K47</f>
        <v>ผู้อำนวยการกองคลัง</v>
      </c>
      <c r="U47" s="96"/>
      <c r="V47" s="411" t="str">
        <f>+P47</f>
        <v>ผู้อำนวยการกองคลัง</v>
      </c>
      <c r="AA47" s="96"/>
      <c r="AB47" s="411" t="str">
        <f>+V47</f>
        <v>ผู้อำนวยการกองคลัง</v>
      </c>
      <c r="AE47" s="58"/>
      <c r="AF47" s="58"/>
      <c r="AG47" s="411" t="str">
        <f>+AB47</f>
        <v>ผู้อำนวยการกองคลัง</v>
      </c>
      <c r="AH47" s="462" t="s">
        <v>267</v>
      </c>
      <c r="AI47" s="462"/>
      <c r="AL47" s="411" t="s">
        <v>437</v>
      </c>
      <c r="AQ47" s="412" t="s">
        <v>437</v>
      </c>
      <c r="AR47" s="427"/>
      <c r="AS47" s="427"/>
      <c r="AT47" s="44"/>
      <c r="AV47" s="412" t="s">
        <v>437</v>
      </c>
      <c r="AW47" s="427"/>
      <c r="AX47" s="427"/>
      <c r="AY47" s="44"/>
      <c r="BA47" s="412" t="s">
        <v>437</v>
      </c>
      <c r="BB47" s="427"/>
      <c r="BC47" s="427"/>
      <c r="BD47" s="44"/>
      <c r="BF47" s="412" t="s">
        <v>437</v>
      </c>
      <c r="BG47" s="427"/>
      <c r="BH47" s="427"/>
      <c r="BI47" s="44"/>
    </row>
    <row r="48" spans="5:62" ht="15.75">
      <c r="E48" s="6">
        <f>+E41-D41</f>
        <v>0</v>
      </c>
      <c r="AP48" s="102">
        <f>+AP41-AO41</f>
        <v>0</v>
      </c>
      <c r="BI48" s="463">
        <f>+BJ41-BI41</f>
        <v>-26171100.15</v>
      </c>
      <c r="BJ48" s="463"/>
    </row>
    <row r="49" spans="9:56" ht="15.75">
      <c r="I49" s="102">
        <f>+I41-J41</f>
        <v>0</v>
      </c>
      <c r="O49" s="6">
        <f>+N41-O41</f>
        <v>0</v>
      </c>
      <c r="AA49" s="6">
        <f>+AA41-Z41</f>
        <v>0</v>
      </c>
      <c r="AF49" s="104">
        <f>+AF41-AE41</f>
        <v>0</v>
      </c>
      <c r="AJ49" s="463">
        <f>+AK41-AJ41</f>
        <v>0</v>
      </c>
      <c r="AK49" s="463"/>
      <c r="AZ49" s="102">
        <f>+AY41-AZ41</f>
        <v>-12225207.610000007</v>
      </c>
      <c r="BC49" s="463">
        <f>+BD41-BE41</f>
        <v>-12225207.610000007</v>
      </c>
      <c r="BD49" s="463"/>
    </row>
    <row r="51" ht="15.75">
      <c r="AT51" s="102">
        <f>+AU41-AT41</f>
        <v>12225207.610000007</v>
      </c>
    </row>
    <row r="52" ht="15.75">
      <c r="T52" s="102">
        <f>+T41-U41</f>
        <v>0</v>
      </c>
    </row>
  </sheetData>
  <sheetProtection/>
  <mergeCells count="96">
    <mergeCell ref="BI48:BJ48"/>
    <mergeCell ref="BG45:BH45"/>
    <mergeCell ref="BG46:BH46"/>
    <mergeCell ref="BA1:BE1"/>
    <mergeCell ref="BA2:BE2"/>
    <mergeCell ref="BA3:BE3"/>
    <mergeCell ref="BA4:BB4"/>
    <mergeCell ref="BB43:BC43"/>
    <mergeCell ref="BF1:BJ1"/>
    <mergeCell ref="BF2:BJ2"/>
    <mergeCell ref="BF3:BJ3"/>
    <mergeCell ref="BF4:BG4"/>
    <mergeCell ref="BG43:BH43"/>
    <mergeCell ref="AH45:AI45"/>
    <mergeCell ref="AR45:AS45"/>
    <mergeCell ref="AM46:AN46"/>
    <mergeCell ref="AL1:AP1"/>
    <mergeCell ref="AL2:AP2"/>
    <mergeCell ref="AL3:AP3"/>
    <mergeCell ref="AL4:AM4"/>
    <mergeCell ref="AM45:AN45"/>
    <mergeCell ref="AR43:AS43"/>
    <mergeCell ref="AQ1:AU1"/>
    <mergeCell ref="AQ2:AU2"/>
    <mergeCell ref="AQ3:AU3"/>
    <mergeCell ref="AQ4:AR4"/>
    <mergeCell ref="AR46:AS46"/>
    <mergeCell ref="I45:J45"/>
    <mergeCell ref="Q45:R45"/>
    <mergeCell ref="W45:X45"/>
    <mergeCell ref="W46:X46"/>
    <mergeCell ref="AB4:AC4"/>
    <mergeCell ref="P4:R4"/>
    <mergeCell ref="K4:L4"/>
    <mergeCell ref="R36:S36"/>
    <mergeCell ref="P37:Q37"/>
    <mergeCell ref="R37:S37"/>
    <mergeCell ref="T37:U37"/>
    <mergeCell ref="V4:X4"/>
    <mergeCell ref="Z46:AA46"/>
    <mergeCell ref="P2:U2"/>
    <mergeCell ref="AB3:AF3"/>
    <mergeCell ref="T46:U46"/>
    <mergeCell ref="AB1:AF1"/>
    <mergeCell ref="V2:AA2"/>
    <mergeCell ref="AB2:AF2"/>
    <mergeCell ref="V1:AA1"/>
    <mergeCell ref="V3:AA3"/>
    <mergeCell ref="A1:E1"/>
    <mergeCell ref="F1:J1"/>
    <mergeCell ref="K1:O1"/>
    <mergeCell ref="P1:U1"/>
    <mergeCell ref="B46:C46"/>
    <mergeCell ref="A4:B4"/>
    <mergeCell ref="F4:G4"/>
    <mergeCell ref="A3:E3"/>
    <mergeCell ref="B45:C45"/>
    <mergeCell ref="G45:H45"/>
    <mergeCell ref="D45:E45"/>
    <mergeCell ref="F3:J3"/>
    <mergeCell ref="K3:O3"/>
    <mergeCell ref="P3:U3"/>
    <mergeCell ref="A2:E2"/>
    <mergeCell ref="K2:O2"/>
    <mergeCell ref="I47:J47"/>
    <mergeCell ref="F2:J2"/>
    <mergeCell ref="AJ49:AK49"/>
    <mergeCell ref="D47:E47"/>
    <mergeCell ref="D46:E46"/>
    <mergeCell ref="AC45:AD45"/>
    <mergeCell ref="Z45:AA45"/>
    <mergeCell ref="AC46:AD46"/>
    <mergeCell ref="G46:H46"/>
    <mergeCell ref="I46:J46"/>
    <mergeCell ref="L45:M45"/>
    <mergeCell ref="N45:O45"/>
    <mergeCell ref="L46:M46"/>
    <mergeCell ref="N46:O46"/>
    <mergeCell ref="Q46:R46"/>
    <mergeCell ref="T45:U45"/>
    <mergeCell ref="AH47:AI47"/>
    <mergeCell ref="BC49:BD49"/>
    <mergeCell ref="AW45:AX45"/>
    <mergeCell ref="AW46:AX46"/>
    <mergeCell ref="AV1:AZ1"/>
    <mergeCell ref="AV2:AZ2"/>
    <mergeCell ref="AV3:AZ3"/>
    <mergeCell ref="AV4:AW4"/>
    <mergeCell ref="AW43:AX43"/>
    <mergeCell ref="BB45:BC45"/>
    <mergeCell ref="BB46:BC46"/>
    <mergeCell ref="AG1:AK1"/>
    <mergeCell ref="AG2:AK2"/>
    <mergeCell ref="AG3:AK3"/>
    <mergeCell ref="AG4:AH4"/>
    <mergeCell ref="AH46:AI46"/>
  </mergeCells>
  <printOptions/>
  <pageMargins left="0.708661417322835" right="0.590551181102362" top="0.590551181102362" bottom="0.196850393700787" header="0.511811023622047" footer="0.511811023622047"/>
  <pageSetup horizontalDpi="600" verticalDpi="600" orientation="portrait" paperSize="9" scale="95" r:id="rId1"/>
  <colBreaks count="7" manualBreakCount="7">
    <brk id="5" max="49" man="1"/>
    <brk id="10" max="49" man="1"/>
    <brk id="15" max="49" man="1"/>
    <brk id="21" max="49" man="1"/>
    <brk id="27" max="49" man="1"/>
    <brk id="42" max="49" man="1"/>
    <brk id="47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22"/>
  <sheetViews>
    <sheetView zoomScalePageLayoutView="0" workbookViewId="0" topLeftCell="A4">
      <selection activeCell="H6" sqref="H6"/>
    </sheetView>
  </sheetViews>
  <sheetFormatPr defaultColWidth="9.140625" defaultRowHeight="12.75"/>
  <cols>
    <col min="1" max="5" width="9.140625" style="252" customWidth="1"/>
    <col min="6" max="6" width="17.28125" style="252" customWidth="1"/>
    <col min="7" max="7" width="7.28125" style="252" customWidth="1"/>
    <col min="8" max="8" width="16.140625" style="428" customWidth="1"/>
    <col min="9" max="9" width="14.00390625" style="252" customWidth="1"/>
    <col min="10" max="16384" width="9.140625" style="252" customWidth="1"/>
  </cols>
  <sheetData>
    <row r="1" ht="21">
      <c r="A1" s="253" t="s">
        <v>593</v>
      </c>
    </row>
    <row r="2" ht="21">
      <c r="A2" s="253" t="s">
        <v>606</v>
      </c>
    </row>
    <row r="3" spans="1:8" ht="21">
      <c r="A3" s="252" t="s">
        <v>609</v>
      </c>
      <c r="G3" s="252" t="s">
        <v>599</v>
      </c>
      <c r="H3" s="428">
        <f>37297+37297</f>
        <v>74594</v>
      </c>
    </row>
    <row r="4" ht="21">
      <c r="A4" s="253"/>
    </row>
    <row r="5" ht="21">
      <c r="A5" s="253" t="s">
        <v>607</v>
      </c>
    </row>
    <row r="6" spans="1:8" ht="21">
      <c r="A6" s="252" t="s">
        <v>608</v>
      </c>
      <c r="G6" s="252" t="s">
        <v>599</v>
      </c>
      <c r="H6" s="428">
        <v>1187000</v>
      </c>
    </row>
    <row r="7" ht="21">
      <c r="A7" s="253"/>
    </row>
    <row r="8" spans="1:8" s="253" customFormat="1" ht="21">
      <c r="A8" s="253" t="s">
        <v>597</v>
      </c>
      <c r="H8" s="431"/>
    </row>
    <row r="9" spans="1:8" ht="21">
      <c r="A9" s="252" t="s">
        <v>605</v>
      </c>
      <c r="G9" s="252" t="s">
        <v>599</v>
      </c>
      <c r="H9" s="428">
        <v>15740</v>
      </c>
    </row>
    <row r="11" spans="1:8" s="253" customFormat="1" ht="21">
      <c r="A11" s="253" t="s">
        <v>594</v>
      </c>
      <c r="H11" s="431"/>
    </row>
    <row r="12" ht="21">
      <c r="A12" s="252" t="s">
        <v>595</v>
      </c>
    </row>
    <row r="15" spans="1:8" s="253" customFormat="1" ht="21">
      <c r="A15" s="253" t="s">
        <v>596</v>
      </c>
      <c r="H15" s="431"/>
    </row>
    <row r="16" spans="1:8" ht="21">
      <c r="A16" s="252" t="s">
        <v>598</v>
      </c>
      <c r="G16" s="252" t="s">
        <v>599</v>
      </c>
      <c r="H16" s="428">
        <v>1393000</v>
      </c>
    </row>
    <row r="17" spans="1:8" ht="21">
      <c r="A17" s="252" t="s">
        <v>600</v>
      </c>
      <c r="G17" s="252" t="s">
        <v>599</v>
      </c>
      <c r="H17" s="428">
        <v>327800</v>
      </c>
    </row>
    <row r="18" spans="1:8" ht="21">
      <c r="A18" s="252" t="s">
        <v>601</v>
      </c>
      <c r="G18" s="252" t="s">
        <v>599</v>
      </c>
      <c r="H18" s="428">
        <v>1393500</v>
      </c>
    </row>
    <row r="19" spans="1:8" ht="21">
      <c r="A19" s="252" t="s">
        <v>602</v>
      </c>
      <c r="G19" s="252" t="s">
        <v>599</v>
      </c>
      <c r="H19" s="428">
        <v>328000</v>
      </c>
    </row>
    <row r="20" spans="1:8" ht="21">
      <c r="A20" s="252" t="s">
        <v>603</v>
      </c>
      <c r="G20" s="252" t="s">
        <v>599</v>
      </c>
      <c r="H20" s="428">
        <v>1265000</v>
      </c>
    </row>
    <row r="21" spans="1:8" ht="21">
      <c r="A21" s="252" t="s">
        <v>604</v>
      </c>
      <c r="G21" s="252" t="s">
        <v>599</v>
      </c>
      <c r="H21" s="428">
        <v>298000</v>
      </c>
    </row>
    <row r="22" spans="1:8" s="253" customFormat="1" ht="21.75" thickBot="1">
      <c r="A22" s="473" t="s">
        <v>17</v>
      </c>
      <c r="B22" s="473"/>
      <c r="C22" s="473"/>
      <c r="D22" s="473"/>
      <c r="E22" s="473"/>
      <c r="F22" s="473"/>
      <c r="H22" s="432">
        <f>SUM(H16:H21)</f>
        <v>5005300</v>
      </c>
    </row>
    <row r="23" ht="21.75" thickTop="1"/>
  </sheetData>
  <sheetProtection/>
  <mergeCells count="1">
    <mergeCell ref="A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W85"/>
  <sheetViews>
    <sheetView view="pageBreakPreview" zoomScaleSheetLayoutView="100" zoomScalePageLayoutView="0" workbookViewId="0" topLeftCell="AQ64">
      <selection activeCell="AU78" sqref="AU78"/>
    </sheetView>
  </sheetViews>
  <sheetFormatPr defaultColWidth="9.140625" defaultRowHeight="12.75"/>
  <cols>
    <col min="1" max="1" width="51.8515625" style="89" customWidth="1"/>
    <col min="2" max="2" width="20.7109375" style="89" hidden="1" customWidth="1"/>
    <col min="3" max="3" width="11.00390625" style="149" customWidth="1"/>
    <col min="4" max="4" width="13.7109375" style="89" bestFit="1" customWidth="1"/>
    <col min="5" max="5" width="14.421875" style="89" customWidth="1"/>
    <col min="6" max="6" width="16.140625" style="89" customWidth="1"/>
    <col min="7" max="7" width="52.00390625" style="89" customWidth="1"/>
    <col min="8" max="8" width="3.00390625" style="89" customWidth="1"/>
    <col min="9" max="9" width="11.8515625" style="196" customWidth="1"/>
    <col min="10" max="10" width="14.00390625" style="89" customWidth="1"/>
    <col min="11" max="11" width="13.28125" style="89" customWidth="1"/>
    <col min="12" max="12" width="14.7109375" style="89" customWidth="1"/>
    <col min="13" max="13" width="9.140625" style="89" customWidth="1"/>
    <col min="14" max="14" width="45.421875" style="89" customWidth="1"/>
    <col min="15" max="15" width="12.8515625" style="89" customWidth="1"/>
    <col min="16" max="16" width="14.140625" style="89" customWidth="1"/>
    <col min="17" max="17" width="13.57421875" style="89" customWidth="1"/>
    <col min="18" max="18" width="16.140625" style="89" customWidth="1"/>
    <col min="19" max="19" width="9.140625" style="89" customWidth="1"/>
    <col min="20" max="20" width="44.57421875" style="89" customWidth="1"/>
    <col min="21" max="21" width="11.140625" style="89" customWidth="1"/>
    <col min="22" max="22" width="14.7109375" style="89" customWidth="1"/>
    <col min="23" max="23" width="14.28125" style="89" customWidth="1"/>
    <col min="24" max="24" width="17.140625" style="89" customWidth="1"/>
    <col min="25" max="25" width="9.140625" style="89" customWidth="1"/>
    <col min="26" max="26" width="42.8515625" style="89" customWidth="1"/>
    <col min="27" max="27" width="12.421875" style="89" customWidth="1"/>
    <col min="28" max="29" width="14.57421875" style="89" customWidth="1"/>
    <col min="30" max="30" width="17.57421875" style="89" customWidth="1"/>
    <col min="31" max="31" width="47.421875" style="89" customWidth="1"/>
    <col min="32" max="32" width="9.140625" style="89" customWidth="1"/>
    <col min="33" max="33" width="11.57421875" style="89" customWidth="1"/>
    <col min="34" max="34" width="14.140625" style="89" customWidth="1"/>
    <col min="35" max="35" width="13.421875" style="89" customWidth="1"/>
    <col min="36" max="36" width="15.57421875" style="89" customWidth="1"/>
    <col min="37" max="37" width="9.140625" style="89" customWidth="1"/>
    <col min="38" max="38" width="45.28125" style="89" customWidth="1"/>
    <col min="39" max="39" width="12.28125" style="89" customWidth="1"/>
    <col min="40" max="40" width="14.8515625" style="89" customWidth="1"/>
    <col min="41" max="41" width="14.57421875" style="89" customWidth="1"/>
    <col min="42" max="43" width="15.28125" style="89" customWidth="1"/>
    <col min="44" max="44" width="36.8515625" style="89" customWidth="1"/>
    <col min="45" max="45" width="11.28125" style="89" customWidth="1"/>
    <col min="46" max="46" width="15.8515625" style="89" customWidth="1"/>
    <col min="47" max="47" width="15.421875" style="89" customWidth="1"/>
    <col min="48" max="48" width="15.8515625" style="89" customWidth="1"/>
    <col min="49" max="49" width="12.421875" style="89" bestFit="1" customWidth="1"/>
    <col min="50" max="16384" width="9.140625" style="89" customWidth="1"/>
  </cols>
  <sheetData>
    <row r="1" spans="6:48" ht="18.75">
      <c r="F1" s="83" t="s">
        <v>164</v>
      </c>
      <c r="L1" s="83" t="s">
        <v>164</v>
      </c>
      <c r="O1" s="291"/>
      <c r="R1" s="83" t="s">
        <v>164</v>
      </c>
      <c r="U1" s="291"/>
      <c r="X1" s="83" t="s">
        <v>164</v>
      </c>
      <c r="AA1" s="291"/>
      <c r="AD1" s="83" t="s">
        <v>164</v>
      </c>
      <c r="AG1" s="291"/>
      <c r="AJ1" s="83" t="s">
        <v>164</v>
      </c>
      <c r="AM1" s="291"/>
      <c r="AP1" s="83" t="s">
        <v>164</v>
      </c>
      <c r="AS1" s="291"/>
      <c r="AV1" s="83" t="s">
        <v>164</v>
      </c>
    </row>
    <row r="2" spans="1:48" ht="18.75">
      <c r="A2" s="476" t="s">
        <v>29</v>
      </c>
      <c r="B2" s="476"/>
      <c r="C2" s="476"/>
      <c r="D2" s="476"/>
      <c r="E2" s="476"/>
      <c r="F2" s="476"/>
      <c r="G2" s="476" t="s">
        <v>29</v>
      </c>
      <c r="H2" s="476"/>
      <c r="I2" s="476"/>
      <c r="J2" s="476"/>
      <c r="K2" s="476"/>
      <c r="L2" s="476"/>
      <c r="M2" s="476" t="s">
        <v>29</v>
      </c>
      <c r="N2" s="476"/>
      <c r="O2" s="476"/>
      <c r="P2" s="476"/>
      <c r="Q2" s="476"/>
      <c r="R2" s="476"/>
      <c r="S2" s="476" t="s">
        <v>29</v>
      </c>
      <c r="T2" s="476"/>
      <c r="U2" s="476"/>
      <c r="V2" s="476"/>
      <c r="W2" s="476"/>
      <c r="X2" s="476"/>
      <c r="Y2" s="476" t="s">
        <v>29</v>
      </c>
      <c r="Z2" s="476"/>
      <c r="AA2" s="476"/>
      <c r="AB2" s="476"/>
      <c r="AC2" s="476"/>
      <c r="AD2" s="476"/>
      <c r="AE2" s="476" t="s">
        <v>29</v>
      </c>
      <c r="AF2" s="476"/>
      <c r="AG2" s="476"/>
      <c r="AH2" s="476"/>
      <c r="AI2" s="476"/>
      <c r="AJ2" s="476"/>
      <c r="AK2" s="476" t="s">
        <v>29</v>
      </c>
      <c r="AL2" s="476"/>
      <c r="AM2" s="476"/>
      <c r="AN2" s="476"/>
      <c r="AO2" s="476"/>
      <c r="AP2" s="476"/>
      <c r="AQ2" s="476" t="s">
        <v>29</v>
      </c>
      <c r="AR2" s="476"/>
      <c r="AS2" s="476"/>
      <c r="AT2" s="476"/>
      <c r="AU2" s="476"/>
      <c r="AV2" s="476"/>
    </row>
    <row r="3" spans="1:48" ht="18.75">
      <c r="A3" s="476" t="s">
        <v>165</v>
      </c>
      <c r="B3" s="476"/>
      <c r="C3" s="476"/>
      <c r="D3" s="476"/>
      <c r="E3" s="476"/>
      <c r="F3" s="476"/>
      <c r="G3" s="476" t="s">
        <v>165</v>
      </c>
      <c r="H3" s="476"/>
      <c r="I3" s="476"/>
      <c r="J3" s="476"/>
      <c r="K3" s="476"/>
      <c r="L3" s="476"/>
      <c r="M3" s="476" t="s">
        <v>165</v>
      </c>
      <c r="N3" s="476"/>
      <c r="O3" s="476"/>
      <c r="P3" s="476"/>
      <c r="Q3" s="476"/>
      <c r="R3" s="476"/>
      <c r="S3" s="476" t="s">
        <v>165</v>
      </c>
      <c r="T3" s="476"/>
      <c r="U3" s="476"/>
      <c r="V3" s="476"/>
      <c r="W3" s="476"/>
      <c r="X3" s="476"/>
      <c r="Y3" s="476" t="s">
        <v>165</v>
      </c>
      <c r="Z3" s="476"/>
      <c r="AA3" s="476"/>
      <c r="AB3" s="476"/>
      <c r="AC3" s="476"/>
      <c r="AD3" s="476"/>
      <c r="AE3" s="476" t="s">
        <v>165</v>
      </c>
      <c r="AF3" s="476"/>
      <c r="AG3" s="476"/>
      <c r="AH3" s="476"/>
      <c r="AI3" s="476"/>
      <c r="AJ3" s="476"/>
      <c r="AK3" s="476" t="s">
        <v>165</v>
      </c>
      <c r="AL3" s="476"/>
      <c r="AM3" s="476"/>
      <c r="AN3" s="476"/>
      <c r="AO3" s="476"/>
      <c r="AP3" s="476"/>
      <c r="AQ3" s="476" t="s">
        <v>165</v>
      </c>
      <c r="AR3" s="476"/>
      <c r="AS3" s="476"/>
      <c r="AT3" s="476"/>
      <c r="AU3" s="476"/>
      <c r="AV3" s="476"/>
    </row>
    <row r="4" spans="1:48" ht="21" customHeight="1">
      <c r="A4" s="476" t="s">
        <v>467</v>
      </c>
      <c r="B4" s="476"/>
      <c r="C4" s="476"/>
      <c r="D4" s="476"/>
      <c r="E4" s="476"/>
      <c r="F4" s="476"/>
      <c r="G4" s="476" t="s">
        <v>481</v>
      </c>
      <c r="H4" s="476"/>
      <c r="I4" s="476"/>
      <c r="J4" s="476"/>
      <c r="K4" s="476"/>
      <c r="L4" s="476"/>
      <c r="M4" s="476" t="s">
        <v>520</v>
      </c>
      <c r="N4" s="476"/>
      <c r="O4" s="476"/>
      <c r="P4" s="476"/>
      <c r="Q4" s="476"/>
      <c r="R4" s="476"/>
      <c r="S4" s="476" t="s">
        <v>527</v>
      </c>
      <c r="T4" s="476"/>
      <c r="U4" s="476"/>
      <c r="V4" s="476"/>
      <c r="W4" s="476"/>
      <c r="X4" s="476"/>
      <c r="Y4" s="476" t="s">
        <v>550</v>
      </c>
      <c r="Z4" s="476"/>
      <c r="AA4" s="476"/>
      <c r="AB4" s="476"/>
      <c r="AC4" s="476"/>
      <c r="AD4" s="476"/>
      <c r="AE4" s="476" t="s">
        <v>567</v>
      </c>
      <c r="AF4" s="476"/>
      <c r="AG4" s="476"/>
      <c r="AH4" s="476"/>
      <c r="AI4" s="476"/>
      <c r="AJ4" s="476"/>
      <c r="AK4" s="476" t="s">
        <v>578</v>
      </c>
      <c r="AL4" s="476"/>
      <c r="AM4" s="476"/>
      <c r="AN4" s="476"/>
      <c r="AO4" s="476"/>
      <c r="AP4" s="476"/>
      <c r="AQ4" s="476" t="s">
        <v>610</v>
      </c>
      <c r="AR4" s="476"/>
      <c r="AS4" s="476"/>
      <c r="AT4" s="476"/>
      <c r="AU4" s="476"/>
      <c r="AV4" s="476"/>
    </row>
    <row r="5" spans="1:48" s="217" customFormat="1" ht="18.75">
      <c r="A5" s="477" t="s">
        <v>0</v>
      </c>
      <c r="B5" s="478"/>
      <c r="C5" s="147" t="s">
        <v>133</v>
      </c>
      <c r="D5" s="147" t="s">
        <v>16</v>
      </c>
      <c r="E5" s="147" t="s">
        <v>166</v>
      </c>
      <c r="F5" s="147" t="s">
        <v>189</v>
      </c>
      <c r="G5" s="477" t="s">
        <v>0</v>
      </c>
      <c r="H5" s="478"/>
      <c r="I5" s="147" t="s">
        <v>133</v>
      </c>
      <c r="J5" s="147" t="s">
        <v>16</v>
      </c>
      <c r="K5" s="147" t="s">
        <v>166</v>
      </c>
      <c r="L5" s="147" t="s">
        <v>189</v>
      </c>
      <c r="M5" s="477" t="s">
        <v>0</v>
      </c>
      <c r="N5" s="478"/>
      <c r="O5" s="147" t="s">
        <v>133</v>
      </c>
      <c r="P5" s="147" t="s">
        <v>16</v>
      </c>
      <c r="Q5" s="147" t="s">
        <v>166</v>
      </c>
      <c r="R5" s="147" t="s">
        <v>189</v>
      </c>
      <c r="S5" s="477" t="s">
        <v>0</v>
      </c>
      <c r="T5" s="478"/>
      <c r="U5" s="147" t="s">
        <v>133</v>
      </c>
      <c r="V5" s="147" t="s">
        <v>16</v>
      </c>
      <c r="W5" s="147" t="s">
        <v>166</v>
      </c>
      <c r="X5" s="147" t="s">
        <v>189</v>
      </c>
      <c r="Y5" s="477" t="s">
        <v>0</v>
      </c>
      <c r="Z5" s="478"/>
      <c r="AA5" s="147" t="s">
        <v>133</v>
      </c>
      <c r="AB5" s="147" t="s">
        <v>16</v>
      </c>
      <c r="AC5" s="147" t="s">
        <v>166</v>
      </c>
      <c r="AD5" s="147" t="s">
        <v>189</v>
      </c>
      <c r="AE5" s="477" t="s">
        <v>0</v>
      </c>
      <c r="AF5" s="478"/>
      <c r="AG5" s="147" t="s">
        <v>133</v>
      </c>
      <c r="AH5" s="147" t="s">
        <v>16</v>
      </c>
      <c r="AI5" s="147" t="s">
        <v>166</v>
      </c>
      <c r="AJ5" s="147" t="s">
        <v>189</v>
      </c>
      <c r="AK5" s="477" t="s">
        <v>0</v>
      </c>
      <c r="AL5" s="478"/>
      <c r="AM5" s="147" t="s">
        <v>133</v>
      </c>
      <c r="AN5" s="147" t="s">
        <v>16</v>
      </c>
      <c r="AO5" s="147" t="s">
        <v>166</v>
      </c>
      <c r="AP5" s="147" t="s">
        <v>189</v>
      </c>
      <c r="AQ5" s="477" t="s">
        <v>0</v>
      </c>
      <c r="AR5" s="478"/>
      <c r="AS5" s="147" t="s">
        <v>133</v>
      </c>
      <c r="AT5" s="147" t="s">
        <v>16</v>
      </c>
      <c r="AU5" s="147" t="s">
        <v>166</v>
      </c>
      <c r="AV5" s="147" t="s">
        <v>189</v>
      </c>
    </row>
    <row r="6" spans="1:48" s="83" customFormat="1" ht="18.75">
      <c r="A6" s="172" t="s">
        <v>92</v>
      </c>
      <c r="B6" s="173"/>
      <c r="C6" s="94"/>
      <c r="D6" s="174"/>
      <c r="E6" s="174"/>
      <c r="F6" s="174"/>
      <c r="G6" s="172" t="s">
        <v>92</v>
      </c>
      <c r="H6" s="173"/>
      <c r="I6" s="94"/>
      <c r="J6" s="174"/>
      <c r="K6" s="174"/>
      <c r="L6" s="174"/>
      <c r="M6" s="172" t="s">
        <v>92</v>
      </c>
      <c r="N6" s="173"/>
      <c r="O6" s="94"/>
      <c r="P6" s="174"/>
      <c r="Q6" s="174"/>
      <c r="R6" s="174"/>
      <c r="S6" s="172" t="s">
        <v>92</v>
      </c>
      <c r="T6" s="173"/>
      <c r="U6" s="94"/>
      <c r="V6" s="174"/>
      <c r="W6" s="174"/>
      <c r="X6" s="174"/>
      <c r="Y6" s="172" t="s">
        <v>92</v>
      </c>
      <c r="Z6" s="173"/>
      <c r="AA6" s="94"/>
      <c r="AB6" s="174"/>
      <c r="AC6" s="174"/>
      <c r="AD6" s="174"/>
      <c r="AE6" s="172" t="s">
        <v>92</v>
      </c>
      <c r="AF6" s="173"/>
      <c r="AG6" s="94"/>
      <c r="AH6" s="174"/>
      <c r="AI6" s="174"/>
      <c r="AJ6" s="174"/>
      <c r="AK6" s="172" t="s">
        <v>92</v>
      </c>
      <c r="AL6" s="173"/>
      <c r="AM6" s="94"/>
      <c r="AN6" s="174"/>
      <c r="AO6" s="174"/>
      <c r="AP6" s="174"/>
      <c r="AQ6" s="172" t="s">
        <v>92</v>
      </c>
      <c r="AR6" s="173"/>
      <c r="AS6" s="94"/>
      <c r="AT6" s="174"/>
      <c r="AU6" s="174"/>
      <c r="AV6" s="174"/>
    </row>
    <row r="7" spans="1:48" s="83" customFormat="1" ht="18.75">
      <c r="A7" s="175" t="s">
        <v>93</v>
      </c>
      <c r="B7" s="176"/>
      <c r="C7" s="94">
        <v>411000</v>
      </c>
      <c r="D7" s="174"/>
      <c r="E7" s="174"/>
      <c r="F7" s="174"/>
      <c r="G7" s="175" t="s">
        <v>93</v>
      </c>
      <c r="H7" s="176"/>
      <c r="I7" s="94">
        <v>411000</v>
      </c>
      <c r="J7" s="174"/>
      <c r="K7" s="174"/>
      <c r="L7" s="174"/>
      <c r="M7" s="175" t="s">
        <v>93</v>
      </c>
      <c r="N7" s="176"/>
      <c r="O7" s="94">
        <v>411000</v>
      </c>
      <c r="P7" s="174"/>
      <c r="Q7" s="174"/>
      <c r="R7" s="174"/>
      <c r="S7" s="175" t="s">
        <v>93</v>
      </c>
      <c r="T7" s="176"/>
      <c r="U7" s="94">
        <v>411000</v>
      </c>
      <c r="V7" s="174"/>
      <c r="W7" s="174"/>
      <c r="X7" s="174"/>
      <c r="Y7" s="175" t="s">
        <v>93</v>
      </c>
      <c r="Z7" s="176"/>
      <c r="AA7" s="94">
        <v>411000</v>
      </c>
      <c r="AB7" s="174"/>
      <c r="AC7" s="174"/>
      <c r="AD7" s="174"/>
      <c r="AE7" s="175" t="s">
        <v>93</v>
      </c>
      <c r="AF7" s="176"/>
      <c r="AG7" s="94">
        <v>411000</v>
      </c>
      <c r="AH7" s="174"/>
      <c r="AI7" s="174"/>
      <c r="AJ7" s="174"/>
      <c r="AK7" s="175" t="s">
        <v>93</v>
      </c>
      <c r="AL7" s="176"/>
      <c r="AM7" s="94">
        <v>411000</v>
      </c>
      <c r="AN7" s="174"/>
      <c r="AO7" s="174"/>
      <c r="AP7" s="174"/>
      <c r="AQ7" s="175" t="s">
        <v>93</v>
      </c>
      <c r="AR7" s="176"/>
      <c r="AS7" s="94">
        <v>411000</v>
      </c>
      <c r="AT7" s="174"/>
      <c r="AU7" s="174"/>
      <c r="AV7" s="174"/>
    </row>
    <row r="8" spans="1:48" ht="18.75">
      <c r="A8" s="88" t="s">
        <v>167</v>
      </c>
      <c r="B8" s="91"/>
      <c r="C8" s="95">
        <v>411001</v>
      </c>
      <c r="D8" s="90">
        <v>167000</v>
      </c>
      <c r="E8" s="90">
        <f>SUM(งบดุลบัญชี!H54)</f>
        <v>0</v>
      </c>
      <c r="F8" s="90">
        <f>SUM(E8)</f>
        <v>0</v>
      </c>
      <c r="G8" s="88" t="s">
        <v>167</v>
      </c>
      <c r="H8" s="91"/>
      <c r="I8" s="95">
        <v>411001</v>
      </c>
      <c r="J8" s="90">
        <v>167000</v>
      </c>
      <c r="K8" s="90">
        <f>SUM(งบดุลบัญชี!N54)</f>
        <v>0</v>
      </c>
      <c r="L8" s="90">
        <f>SUM(+F8+K8)</f>
        <v>0</v>
      </c>
      <c r="M8" s="88" t="s">
        <v>167</v>
      </c>
      <c r="N8" s="91"/>
      <c r="O8" s="95">
        <v>411001</v>
      </c>
      <c r="P8" s="90">
        <v>167000</v>
      </c>
      <c r="Q8" s="90">
        <f>SUM(งบดุลบัญชี!T54)</f>
        <v>0</v>
      </c>
      <c r="R8" s="90">
        <f>SUM(+L8+Q8)</f>
        <v>0</v>
      </c>
      <c r="S8" s="88" t="s">
        <v>167</v>
      </c>
      <c r="T8" s="91"/>
      <c r="U8" s="95">
        <v>411001</v>
      </c>
      <c r="V8" s="90">
        <v>167000</v>
      </c>
      <c r="W8" s="90">
        <f>SUM(งบดุลบัญชี!Z54)</f>
        <v>13862</v>
      </c>
      <c r="X8" s="90">
        <f>SUM(+R8+W8)</f>
        <v>13862</v>
      </c>
      <c r="Y8" s="88" t="s">
        <v>167</v>
      </c>
      <c r="Z8" s="91"/>
      <c r="AA8" s="95">
        <v>411001</v>
      </c>
      <c r="AB8" s="90">
        <v>167000</v>
      </c>
      <c r="AC8" s="90">
        <f>SUM(งบดุลบัญชี!AF54)</f>
        <v>69016.29</v>
      </c>
      <c r="AD8" s="90">
        <f>SUM(+X8+AC8)</f>
        <v>82878.29</v>
      </c>
      <c r="AE8" s="88" t="s">
        <v>167</v>
      </c>
      <c r="AF8" s="91"/>
      <c r="AG8" s="95">
        <v>411001</v>
      </c>
      <c r="AH8" s="90">
        <v>167000</v>
      </c>
      <c r="AI8" s="90">
        <f>SUM(งบดุลบัญชี!AL54)</f>
        <v>67653</v>
      </c>
      <c r="AJ8" s="90">
        <f>SUM(+AD8+AI8)</f>
        <v>150531.28999999998</v>
      </c>
      <c r="AK8" s="88" t="s">
        <v>167</v>
      </c>
      <c r="AL8" s="91"/>
      <c r="AM8" s="95">
        <v>411001</v>
      </c>
      <c r="AN8" s="90">
        <v>167000</v>
      </c>
      <c r="AO8" s="90">
        <f>SUM(งบดุลบัญชี!AR54)</f>
        <v>8032.08</v>
      </c>
      <c r="AP8" s="90">
        <f>SUM(+AJ8+AO8)</f>
        <v>158563.36999999997</v>
      </c>
      <c r="AQ8" s="88" t="s">
        <v>167</v>
      </c>
      <c r="AR8" s="91"/>
      <c r="AS8" s="95">
        <v>411001</v>
      </c>
      <c r="AT8" s="90">
        <v>167000</v>
      </c>
      <c r="AU8" s="90">
        <f>SUM(งบดุลบัญชี!AX54)</f>
        <v>0</v>
      </c>
      <c r="AV8" s="90">
        <f>SUM(+AP8+AU8)</f>
        <v>158563.36999999997</v>
      </c>
    </row>
    <row r="9" spans="1:48" ht="18.75">
      <c r="A9" s="88" t="s">
        <v>168</v>
      </c>
      <c r="B9" s="91"/>
      <c r="C9" s="95">
        <v>411002</v>
      </c>
      <c r="D9" s="90">
        <v>22000</v>
      </c>
      <c r="E9" s="90">
        <v>0</v>
      </c>
      <c r="F9" s="90">
        <f>SUM(E9)</f>
        <v>0</v>
      </c>
      <c r="G9" s="88" t="s">
        <v>168</v>
      </c>
      <c r="H9" s="91"/>
      <c r="I9" s="95">
        <v>411002</v>
      </c>
      <c r="J9" s="90">
        <v>22000</v>
      </c>
      <c r="K9" s="90">
        <v>0</v>
      </c>
      <c r="L9" s="90">
        <f>SUM(+F9+K9)</f>
        <v>0</v>
      </c>
      <c r="M9" s="88" t="s">
        <v>168</v>
      </c>
      <c r="N9" s="91"/>
      <c r="O9" s="95">
        <v>411002</v>
      </c>
      <c r="P9" s="90">
        <v>22000</v>
      </c>
      <c r="Q9" s="90">
        <v>0</v>
      </c>
      <c r="R9" s="90">
        <f>SUM(+L9+Q9)</f>
        <v>0</v>
      </c>
      <c r="S9" s="88" t="s">
        <v>168</v>
      </c>
      <c r="T9" s="91"/>
      <c r="U9" s="95">
        <v>411002</v>
      </c>
      <c r="V9" s="90">
        <v>22000</v>
      </c>
      <c r="W9" s="90">
        <v>349.36</v>
      </c>
      <c r="X9" s="90">
        <f>SUM(+R9+W9)</f>
        <v>349.36</v>
      </c>
      <c r="Y9" s="88" t="s">
        <v>168</v>
      </c>
      <c r="Z9" s="91"/>
      <c r="AA9" s="95">
        <v>411002</v>
      </c>
      <c r="AB9" s="90">
        <v>22000</v>
      </c>
      <c r="AC9" s="90">
        <f>+งบดุลบัญชี!AF55</f>
        <v>1558.3</v>
      </c>
      <c r="AD9" s="90">
        <f>SUM(+X9+AC9)</f>
        <v>1907.6599999999999</v>
      </c>
      <c r="AE9" s="88" t="s">
        <v>168</v>
      </c>
      <c r="AF9" s="91"/>
      <c r="AG9" s="95">
        <v>411002</v>
      </c>
      <c r="AH9" s="90">
        <v>22000</v>
      </c>
      <c r="AI9" s="90">
        <f>+งบดุลบัญชี!AL55</f>
        <v>4810.18</v>
      </c>
      <c r="AJ9" s="90">
        <f>SUM(+AD9+AI9)</f>
        <v>6717.84</v>
      </c>
      <c r="AK9" s="88" t="s">
        <v>168</v>
      </c>
      <c r="AL9" s="91"/>
      <c r="AM9" s="95">
        <v>411002</v>
      </c>
      <c r="AN9" s="90">
        <v>22000</v>
      </c>
      <c r="AO9" s="90">
        <f>+งบดุลบัญชี!AR55</f>
        <v>2349.25</v>
      </c>
      <c r="AP9" s="90">
        <f>SUM(+AJ9+AO9)</f>
        <v>9067.09</v>
      </c>
      <c r="AQ9" s="88" t="s">
        <v>168</v>
      </c>
      <c r="AR9" s="91"/>
      <c r="AS9" s="95">
        <v>411002</v>
      </c>
      <c r="AT9" s="90">
        <v>22000</v>
      </c>
      <c r="AU9" s="90">
        <v>869.38</v>
      </c>
      <c r="AV9" s="90">
        <f>SUM(+AP9+AU9)</f>
        <v>9936.47</v>
      </c>
    </row>
    <row r="10" spans="1:48" ht="18.75">
      <c r="A10" s="88" t="s">
        <v>169</v>
      </c>
      <c r="B10" s="91"/>
      <c r="C10" s="95">
        <v>411003</v>
      </c>
      <c r="D10" s="90">
        <v>9000</v>
      </c>
      <c r="E10" s="90">
        <f>SUM(งบดุลบัญชี!H56)</f>
        <v>0</v>
      </c>
      <c r="F10" s="90">
        <f>SUM(E10)</f>
        <v>0</v>
      </c>
      <c r="G10" s="88" t="s">
        <v>169</v>
      </c>
      <c r="H10" s="91"/>
      <c r="I10" s="95">
        <v>411003</v>
      </c>
      <c r="J10" s="90">
        <v>9000</v>
      </c>
      <c r="K10" s="90">
        <f>SUM(งบดุลบัญชี!N56)</f>
        <v>0</v>
      </c>
      <c r="L10" s="90">
        <f>SUM(+F10+K10)</f>
        <v>0</v>
      </c>
      <c r="M10" s="88" t="s">
        <v>169</v>
      </c>
      <c r="N10" s="91"/>
      <c r="O10" s="95">
        <v>411003</v>
      </c>
      <c r="P10" s="90">
        <v>9000</v>
      </c>
      <c r="Q10" s="90">
        <f>SUM(งบดุลบัญชี!T56)</f>
        <v>0</v>
      </c>
      <c r="R10" s="90">
        <f>SUM(+L10+Q10)</f>
        <v>0</v>
      </c>
      <c r="S10" s="88" t="s">
        <v>169</v>
      </c>
      <c r="T10" s="91"/>
      <c r="U10" s="95">
        <v>411003</v>
      </c>
      <c r="V10" s="90">
        <v>9000</v>
      </c>
      <c r="W10" s="90">
        <f>SUM(งบดุลบัญชี!Z56)</f>
        <v>288</v>
      </c>
      <c r="X10" s="90">
        <f>SUM(+R10+W10)</f>
        <v>288</v>
      </c>
      <c r="Y10" s="88" t="s">
        <v>169</v>
      </c>
      <c r="Z10" s="91"/>
      <c r="AA10" s="95">
        <v>411003</v>
      </c>
      <c r="AB10" s="90">
        <v>9000</v>
      </c>
      <c r="AC10" s="90">
        <f>SUM(งบดุลบัญชี!AF56)</f>
        <v>2160</v>
      </c>
      <c r="AD10" s="90">
        <f>SUM(+X10+AC10)</f>
        <v>2448</v>
      </c>
      <c r="AE10" s="88" t="s">
        <v>169</v>
      </c>
      <c r="AF10" s="91"/>
      <c r="AG10" s="95">
        <v>411003</v>
      </c>
      <c r="AH10" s="90">
        <v>9000</v>
      </c>
      <c r="AI10" s="90">
        <f>SUM(งบดุลบัญชี!AL56)</f>
        <v>1728</v>
      </c>
      <c r="AJ10" s="90">
        <f>SUM(+AD10+AI10)</f>
        <v>4176</v>
      </c>
      <c r="AK10" s="88" t="s">
        <v>169</v>
      </c>
      <c r="AL10" s="91"/>
      <c r="AM10" s="95">
        <v>411003</v>
      </c>
      <c r="AN10" s="90">
        <v>9000</v>
      </c>
      <c r="AO10" s="90">
        <f>SUM(งบดุลบัญชี!AR56)</f>
        <v>0</v>
      </c>
      <c r="AP10" s="90">
        <f>SUM(+AJ10+AO10)</f>
        <v>4176</v>
      </c>
      <c r="AQ10" s="88" t="s">
        <v>169</v>
      </c>
      <c r="AR10" s="91"/>
      <c r="AS10" s="95">
        <v>411003</v>
      </c>
      <c r="AT10" s="90">
        <v>9000</v>
      </c>
      <c r="AU10" s="90">
        <f>SUM(งบดุลบัญชี!AX56)</f>
        <v>0</v>
      </c>
      <c r="AV10" s="90">
        <f>SUM(+AP10+AU10)</f>
        <v>4176</v>
      </c>
    </row>
    <row r="11" spans="1:48" s="83" customFormat="1" ht="18.75">
      <c r="A11" s="93" t="s">
        <v>17</v>
      </c>
      <c r="B11" s="152"/>
      <c r="C11" s="94"/>
      <c r="D11" s="25">
        <f>SUM(D8:D10)</f>
        <v>198000</v>
      </c>
      <c r="E11" s="25">
        <f>SUM(E8:E10)</f>
        <v>0</v>
      </c>
      <c r="F11" s="25">
        <f>SUM(F8:F10)</f>
        <v>0</v>
      </c>
      <c r="G11" s="93" t="s">
        <v>17</v>
      </c>
      <c r="H11" s="198"/>
      <c r="I11" s="94"/>
      <c r="J11" s="25">
        <f>SUM(J8:J10)</f>
        <v>198000</v>
      </c>
      <c r="K11" s="25">
        <f>SUM(K8:K10)</f>
        <v>0</v>
      </c>
      <c r="L11" s="25">
        <f>SUM(L8:L10)</f>
        <v>0</v>
      </c>
      <c r="M11" s="93" t="s">
        <v>17</v>
      </c>
      <c r="N11" s="330"/>
      <c r="O11" s="94"/>
      <c r="P11" s="25">
        <f>SUM(P8:P10)</f>
        <v>198000</v>
      </c>
      <c r="Q11" s="25">
        <f>SUM(Q8:Q10)</f>
        <v>0</v>
      </c>
      <c r="R11" s="25">
        <f>SUM(R8:R10)</f>
        <v>0</v>
      </c>
      <c r="S11" s="93" t="s">
        <v>17</v>
      </c>
      <c r="T11" s="344"/>
      <c r="U11" s="94"/>
      <c r="V11" s="25">
        <f>SUM(V8:V10)</f>
        <v>198000</v>
      </c>
      <c r="W11" s="25">
        <f>SUM(W8:W10)</f>
        <v>14499.36</v>
      </c>
      <c r="X11" s="25">
        <f>SUM(X8:X10)</f>
        <v>14499.36</v>
      </c>
      <c r="Y11" s="93" t="s">
        <v>17</v>
      </c>
      <c r="Z11" s="361"/>
      <c r="AA11" s="94"/>
      <c r="AB11" s="25">
        <f>SUM(AB8:AB10)</f>
        <v>198000</v>
      </c>
      <c r="AC11" s="25">
        <f>SUM(AC8:AC10)</f>
        <v>72734.59</v>
      </c>
      <c r="AD11" s="25">
        <f>SUM(AD8:AD10)</f>
        <v>87233.95</v>
      </c>
      <c r="AE11" s="93" t="s">
        <v>17</v>
      </c>
      <c r="AF11" s="378"/>
      <c r="AG11" s="94"/>
      <c r="AH11" s="25">
        <f>SUM(AH8:AH10)</f>
        <v>198000</v>
      </c>
      <c r="AI11" s="25">
        <f>SUM(AI8:AI10)</f>
        <v>74191.18</v>
      </c>
      <c r="AJ11" s="25">
        <f>SUM(AJ8:AJ10)</f>
        <v>161425.12999999998</v>
      </c>
      <c r="AK11" s="93" t="s">
        <v>17</v>
      </c>
      <c r="AL11" s="399"/>
      <c r="AM11" s="94"/>
      <c r="AN11" s="25">
        <f>SUM(AN8:AN10)</f>
        <v>198000</v>
      </c>
      <c r="AO11" s="25">
        <f>SUM(AO8:AO10)</f>
        <v>10381.33</v>
      </c>
      <c r="AP11" s="25">
        <f>SUM(AP8:AP10)</f>
        <v>171806.45999999996</v>
      </c>
      <c r="AQ11" s="93" t="s">
        <v>17</v>
      </c>
      <c r="AR11" s="407"/>
      <c r="AS11" s="94"/>
      <c r="AT11" s="25">
        <f>SUM(AT8:AT10)</f>
        <v>198000</v>
      </c>
      <c r="AU11" s="25">
        <f>SUM(AU8:AU10)</f>
        <v>869.38</v>
      </c>
      <c r="AV11" s="25">
        <f>SUM(AV8:AV10)</f>
        <v>172675.83999999997</v>
      </c>
    </row>
    <row r="12" spans="1:48" s="83" customFormat="1" ht="18.75">
      <c r="A12" s="175" t="s">
        <v>94</v>
      </c>
      <c r="B12" s="176"/>
      <c r="C12" s="94">
        <v>412000</v>
      </c>
      <c r="D12" s="174"/>
      <c r="E12" s="174"/>
      <c r="F12" s="174"/>
      <c r="G12" s="175" t="s">
        <v>94</v>
      </c>
      <c r="H12" s="176"/>
      <c r="I12" s="94">
        <v>412000</v>
      </c>
      <c r="J12" s="174"/>
      <c r="K12" s="174"/>
      <c r="L12" s="174"/>
      <c r="M12" s="175" t="s">
        <v>94</v>
      </c>
      <c r="N12" s="176"/>
      <c r="O12" s="94">
        <v>412000</v>
      </c>
      <c r="P12" s="174"/>
      <c r="Q12" s="174"/>
      <c r="R12" s="174"/>
      <c r="S12" s="175" t="s">
        <v>94</v>
      </c>
      <c r="T12" s="176"/>
      <c r="U12" s="94">
        <v>412000</v>
      </c>
      <c r="V12" s="174"/>
      <c r="W12" s="174"/>
      <c r="X12" s="174"/>
      <c r="Y12" s="175" t="s">
        <v>94</v>
      </c>
      <c r="Z12" s="176"/>
      <c r="AA12" s="94">
        <v>412000</v>
      </c>
      <c r="AB12" s="174"/>
      <c r="AC12" s="174"/>
      <c r="AD12" s="174"/>
      <c r="AE12" s="175" t="s">
        <v>94</v>
      </c>
      <c r="AF12" s="176"/>
      <c r="AG12" s="94">
        <v>412000</v>
      </c>
      <c r="AH12" s="174"/>
      <c r="AI12" s="174"/>
      <c r="AJ12" s="174"/>
      <c r="AK12" s="175" t="s">
        <v>94</v>
      </c>
      <c r="AL12" s="176"/>
      <c r="AM12" s="94">
        <v>412000</v>
      </c>
      <c r="AN12" s="174"/>
      <c r="AO12" s="174"/>
      <c r="AP12" s="174"/>
      <c r="AQ12" s="175" t="s">
        <v>94</v>
      </c>
      <c r="AR12" s="176"/>
      <c r="AS12" s="94">
        <v>412000</v>
      </c>
      <c r="AT12" s="174"/>
      <c r="AU12" s="174"/>
      <c r="AV12" s="174"/>
    </row>
    <row r="13" spans="1:48" ht="18.75">
      <c r="A13" s="88" t="s">
        <v>375</v>
      </c>
      <c r="B13" s="91"/>
      <c r="C13" s="95">
        <v>412103</v>
      </c>
      <c r="D13" s="90">
        <v>100</v>
      </c>
      <c r="E13" s="90">
        <v>0</v>
      </c>
      <c r="F13" s="90"/>
      <c r="G13" s="88" t="s">
        <v>375</v>
      </c>
      <c r="H13" s="91"/>
      <c r="I13" s="95">
        <v>412103</v>
      </c>
      <c r="J13" s="90">
        <v>100</v>
      </c>
      <c r="K13" s="337">
        <v>0</v>
      </c>
      <c r="L13" s="90">
        <f>SUM(+F13+K13)</f>
        <v>0</v>
      </c>
      <c r="M13" s="88" t="s">
        <v>375</v>
      </c>
      <c r="N13" s="91"/>
      <c r="O13" s="95">
        <v>412103</v>
      </c>
      <c r="P13" s="90">
        <v>100</v>
      </c>
      <c r="Q13" s="90">
        <v>97</v>
      </c>
      <c r="R13" s="90">
        <f>SUM(+L13+Q13)</f>
        <v>97</v>
      </c>
      <c r="S13" s="88" t="s">
        <v>375</v>
      </c>
      <c r="T13" s="91"/>
      <c r="U13" s="95">
        <v>412103</v>
      </c>
      <c r="V13" s="90">
        <v>100</v>
      </c>
      <c r="W13" s="90">
        <v>0</v>
      </c>
      <c r="X13" s="90">
        <f>SUM(+R13+W13)</f>
        <v>97</v>
      </c>
      <c r="Y13" s="88" t="s">
        <v>375</v>
      </c>
      <c r="Z13" s="91"/>
      <c r="AA13" s="95">
        <v>412103</v>
      </c>
      <c r="AB13" s="90">
        <v>100</v>
      </c>
      <c r="AC13" s="90">
        <f>+งบดุลบัญชี!AF58</f>
        <v>58.2</v>
      </c>
      <c r="AD13" s="90">
        <f>SUM(+X13+AC13)</f>
        <v>155.2</v>
      </c>
      <c r="AE13" s="88" t="s">
        <v>375</v>
      </c>
      <c r="AF13" s="91"/>
      <c r="AG13" s="95">
        <v>412103</v>
      </c>
      <c r="AH13" s="90">
        <v>100</v>
      </c>
      <c r="AI13" s="90">
        <f>+งบดุลบัญชี!AL58</f>
        <v>0</v>
      </c>
      <c r="AJ13" s="90">
        <f>SUM(+AD13+AI13)</f>
        <v>155.2</v>
      </c>
      <c r="AK13" s="88" t="s">
        <v>375</v>
      </c>
      <c r="AL13" s="91"/>
      <c r="AM13" s="95">
        <v>412103</v>
      </c>
      <c r="AN13" s="90">
        <v>100</v>
      </c>
      <c r="AO13" s="90">
        <f>+งบดุลบัญชี!AR58</f>
        <v>0</v>
      </c>
      <c r="AP13" s="90">
        <f>SUM(+AJ13+AO13)</f>
        <v>155.2</v>
      </c>
      <c r="AQ13" s="88" t="s">
        <v>375</v>
      </c>
      <c r="AR13" s="91"/>
      <c r="AS13" s="95">
        <v>412103</v>
      </c>
      <c r="AT13" s="90">
        <v>100</v>
      </c>
      <c r="AU13" s="90">
        <f>+งบดุลบัญชี!AX58</f>
        <v>0</v>
      </c>
      <c r="AV13" s="90">
        <f>SUM(+AP13+AU13)</f>
        <v>155.2</v>
      </c>
    </row>
    <row r="14" spans="1:48" ht="18.75">
      <c r="A14" s="88" t="s">
        <v>376</v>
      </c>
      <c r="B14" s="91"/>
      <c r="C14" s="95">
        <v>412104</v>
      </c>
      <c r="D14" s="90">
        <v>150000</v>
      </c>
      <c r="E14" s="90">
        <v>16800</v>
      </c>
      <c r="F14" s="90">
        <f>+E14</f>
        <v>16800</v>
      </c>
      <c r="G14" s="88" t="s">
        <v>376</v>
      </c>
      <c r="H14" s="91"/>
      <c r="I14" s="95">
        <v>412104</v>
      </c>
      <c r="J14" s="90">
        <v>150000</v>
      </c>
      <c r="K14" s="90">
        <v>16620</v>
      </c>
      <c r="L14" s="90">
        <f>SUM(+F14+K14)</f>
        <v>33420</v>
      </c>
      <c r="M14" s="88" t="s">
        <v>376</v>
      </c>
      <c r="N14" s="91"/>
      <c r="O14" s="95">
        <v>412104</v>
      </c>
      <c r="P14" s="90">
        <v>150000</v>
      </c>
      <c r="Q14" s="90">
        <v>21360</v>
      </c>
      <c r="R14" s="90">
        <f>SUM(+L14+Q14)</f>
        <v>54780</v>
      </c>
      <c r="S14" s="88" t="s">
        <v>376</v>
      </c>
      <c r="T14" s="91"/>
      <c r="U14" s="95">
        <v>412104</v>
      </c>
      <c r="V14" s="90">
        <v>150000</v>
      </c>
      <c r="W14" s="90">
        <v>16800</v>
      </c>
      <c r="X14" s="90">
        <f>SUM(+R14+W14)</f>
        <v>71580</v>
      </c>
      <c r="Y14" s="88" t="s">
        <v>376</v>
      </c>
      <c r="Z14" s="91"/>
      <c r="AA14" s="95">
        <v>412104</v>
      </c>
      <c r="AB14" s="90">
        <v>150000</v>
      </c>
      <c r="AC14" s="90">
        <f>+งบดุลบัญชี!AF59</f>
        <v>17820</v>
      </c>
      <c r="AD14" s="90">
        <f>SUM(+X14+AC14)</f>
        <v>89400</v>
      </c>
      <c r="AE14" s="88" t="s">
        <v>376</v>
      </c>
      <c r="AF14" s="91"/>
      <c r="AG14" s="95">
        <v>412104</v>
      </c>
      <c r="AH14" s="90">
        <v>150000</v>
      </c>
      <c r="AI14" s="90">
        <f>+งบดุลบัญชี!AL59</f>
        <v>18200</v>
      </c>
      <c r="AJ14" s="90">
        <f>SUM(+AD14+AI14)</f>
        <v>107600</v>
      </c>
      <c r="AK14" s="88" t="s">
        <v>376</v>
      </c>
      <c r="AL14" s="91"/>
      <c r="AM14" s="95">
        <v>412104</v>
      </c>
      <c r="AN14" s="90">
        <v>150000</v>
      </c>
      <c r="AO14" s="90">
        <f>+งบดุลบัญชี!AR59</f>
        <v>15940</v>
      </c>
      <c r="AP14" s="90">
        <f aca="true" t="shared" si="0" ref="AP14:AP23">SUM(+AJ14+AO14)</f>
        <v>123540</v>
      </c>
      <c r="AQ14" s="88" t="s">
        <v>376</v>
      </c>
      <c r="AR14" s="91"/>
      <c r="AS14" s="95">
        <v>412104</v>
      </c>
      <c r="AT14" s="90">
        <v>150000</v>
      </c>
      <c r="AU14" s="90">
        <v>14500</v>
      </c>
      <c r="AV14" s="90">
        <f aca="true" t="shared" si="1" ref="AV14:AV23">SUM(+AP14+AU14)</f>
        <v>138040</v>
      </c>
    </row>
    <row r="15" spans="1:48" ht="18.75">
      <c r="A15" s="293" t="s">
        <v>377</v>
      </c>
      <c r="B15" s="91"/>
      <c r="C15" s="95">
        <v>412109</v>
      </c>
      <c r="D15" s="90">
        <v>5000</v>
      </c>
      <c r="E15" s="90">
        <v>0</v>
      </c>
      <c r="F15" s="90">
        <f>+E15</f>
        <v>0</v>
      </c>
      <c r="G15" s="293" t="s">
        <v>377</v>
      </c>
      <c r="H15" s="91"/>
      <c r="I15" s="95">
        <v>412109</v>
      </c>
      <c r="J15" s="90">
        <v>5000</v>
      </c>
      <c r="K15" s="90">
        <v>0</v>
      </c>
      <c r="L15" s="90">
        <f>SUM(+F15+K15)</f>
        <v>0</v>
      </c>
      <c r="M15" s="293" t="s">
        <v>377</v>
      </c>
      <c r="N15" s="91"/>
      <c r="O15" s="95">
        <v>412109</v>
      </c>
      <c r="P15" s="90">
        <v>5000</v>
      </c>
      <c r="Q15" s="90">
        <v>0</v>
      </c>
      <c r="R15" s="90">
        <f>SUM(+L15+Q15)</f>
        <v>0</v>
      </c>
      <c r="S15" s="293" t="s">
        <v>377</v>
      </c>
      <c r="T15" s="91"/>
      <c r="U15" s="95">
        <v>412109</v>
      </c>
      <c r="V15" s="90">
        <v>5000</v>
      </c>
      <c r="W15" s="90">
        <v>0</v>
      </c>
      <c r="X15" s="90">
        <f>SUM(+R15+W15)</f>
        <v>0</v>
      </c>
      <c r="Y15" s="293" t="s">
        <v>377</v>
      </c>
      <c r="Z15" s="91"/>
      <c r="AA15" s="95">
        <v>412109</v>
      </c>
      <c r="AB15" s="90">
        <v>5000</v>
      </c>
      <c r="AC15" s="90">
        <v>0</v>
      </c>
      <c r="AD15" s="90">
        <f>SUM(+X15+AC15)</f>
        <v>0</v>
      </c>
      <c r="AE15" s="293" t="s">
        <v>377</v>
      </c>
      <c r="AF15" s="91"/>
      <c r="AG15" s="95">
        <v>412109</v>
      </c>
      <c r="AH15" s="90">
        <v>5000</v>
      </c>
      <c r="AI15" s="90">
        <v>0</v>
      </c>
      <c r="AJ15" s="90">
        <f>SUM(+AD15+AI15)</f>
        <v>0</v>
      </c>
      <c r="AK15" s="293" t="s">
        <v>377</v>
      </c>
      <c r="AL15" s="91"/>
      <c r="AM15" s="95">
        <v>412109</v>
      </c>
      <c r="AN15" s="90">
        <v>5000</v>
      </c>
      <c r="AO15" s="90">
        <v>0</v>
      </c>
      <c r="AP15" s="90">
        <f t="shared" si="0"/>
        <v>0</v>
      </c>
      <c r="AQ15" s="293" t="s">
        <v>377</v>
      </c>
      <c r="AR15" s="91"/>
      <c r="AS15" s="95">
        <v>412109</v>
      </c>
      <c r="AT15" s="90">
        <v>5000</v>
      </c>
      <c r="AU15" s="90">
        <v>0</v>
      </c>
      <c r="AV15" s="90">
        <f t="shared" si="1"/>
        <v>0</v>
      </c>
    </row>
    <row r="16" spans="1:48" ht="18.75">
      <c r="A16" s="88" t="s">
        <v>378</v>
      </c>
      <c r="B16" s="91"/>
      <c r="C16" s="95">
        <v>412112</v>
      </c>
      <c r="D16" s="90">
        <v>1000</v>
      </c>
      <c r="E16" s="90">
        <v>240</v>
      </c>
      <c r="F16" s="90">
        <f aca="true" t="shared" si="2" ref="F16:F23">+E16</f>
        <v>240</v>
      </c>
      <c r="G16" s="88" t="s">
        <v>378</v>
      </c>
      <c r="H16" s="91"/>
      <c r="I16" s="95">
        <v>412112</v>
      </c>
      <c r="J16" s="90">
        <v>1000</v>
      </c>
      <c r="K16" s="90">
        <f>SUM(งบดุลบัญชี!N61)</f>
        <v>330</v>
      </c>
      <c r="L16" s="90">
        <f aca="true" t="shared" si="3" ref="L16:L22">SUM(+F16+K16)</f>
        <v>570</v>
      </c>
      <c r="M16" s="88" t="s">
        <v>378</v>
      </c>
      <c r="N16" s="91"/>
      <c r="O16" s="95">
        <v>412112</v>
      </c>
      <c r="P16" s="90">
        <v>1000</v>
      </c>
      <c r="Q16" s="90">
        <f>SUM(งบดุลบัญชี!T61)</f>
        <v>200</v>
      </c>
      <c r="R16" s="90">
        <f>SUM(+L16+Q16)</f>
        <v>770</v>
      </c>
      <c r="S16" s="88" t="s">
        <v>378</v>
      </c>
      <c r="T16" s="91"/>
      <c r="U16" s="95">
        <v>412112</v>
      </c>
      <c r="V16" s="90">
        <v>1000</v>
      </c>
      <c r="W16" s="90">
        <f>SUM(งบดุลบัญชี!Z61)</f>
        <v>120</v>
      </c>
      <c r="X16" s="90">
        <f>SUM(+R16+W16)</f>
        <v>890</v>
      </c>
      <c r="Y16" s="88" t="s">
        <v>378</v>
      </c>
      <c r="Z16" s="91"/>
      <c r="AA16" s="95">
        <v>412112</v>
      </c>
      <c r="AB16" s="90">
        <v>1000</v>
      </c>
      <c r="AC16" s="90">
        <f>SUM(งบดุลบัญชี!AF61)</f>
        <v>160</v>
      </c>
      <c r="AD16" s="90">
        <f>SUM(+X16+AC16)</f>
        <v>1050</v>
      </c>
      <c r="AE16" s="88" t="s">
        <v>378</v>
      </c>
      <c r="AF16" s="91"/>
      <c r="AG16" s="95">
        <v>412112</v>
      </c>
      <c r="AH16" s="90">
        <v>1000</v>
      </c>
      <c r="AI16" s="90">
        <f>SUM(งบดุลบัญชี!AL61)</f>
        <v>260</v>
      </c>
      <c r="AJ16" s="90">
        <f>SUM(+AD16+AI16)</f>
        <v>1310</v>
      </c>
      <c r="AK16" s="88" t="s">
        <v>378</v>
      </c>
      <c r="AL16" s="91"/>
      <c r="AM16" s="95">
        <v>412112</v>
      </c>
      <c r="AN16" s="90">
        <v>1000</v>
      </c>
      <c r="AO16" s="90">
        <f>SUM(งบดุลบัญชี!AR61)</f>
        <v>280</v>
      </c>
      <c r="AP16" s="90">
        <f t="shared" si="0"/>
        <v>1590</v>
      </c>
      <c r="AQ16" s="88" t="s">
        <v>378</v>
      </c>
      <c r="AR16" s="91"/>
      <c r="AS16" s="95">
        <v>412112</v>
      </c>
      <c r="AT16" s="90">
        <v>1000</v>
      </c>
      <c r="AU16" s="90">
        <v>460</v>
      </c>
      <c r="AV16" s="90">
        <f t="shared" si="1"/>
        <v>2050</v>
      </c>
    </row>
    <row r="17" spans="1:48" ht="18.75">
      <c r="A17" s="88" t="s">
        <v>379</v>
      </c>
      <c r="B17" s="91"/>
      <c r="C17" s="95">
        <v>412128</v>
      </c>
      <c r="D17" s="90">
        <v>3000</v>
      </c>
      <c r="E17" s="90">
        <v>120</v>
      </c>
      <c r="F17" s="90">
        <f t="shared" si="2"/>
        <v>120</v>
      </c>
      <c r="G17" s="88" t="s">
        <v>379</v>
      </c>
      <c r="H17" s="91"/>
      <c r="I17" s="95">
        <v>412128</v>
      </c>
      <c r="J17" s="90">
        <v>3000</v>
      </c>
      <c r="K17" s="90">
        <v>50</v>
      </c>
      <c r="L17" s="90">
        <f t="shared" si="3"/>
        <v>170</v>
      </c>
      <c r="M17" s="88" t="s">
        <v>379</v>
      </c>
      <c r="N17" s="91"/>
      <c r="O17" s="95">
        <v>412128</v>
      </c>
      <c r="P17" s="90">
        <v>3000</v>
      </c>
      <c r="Q17" s="90">
        <v>50</v>
      </c>
      <c r="R17" s="90">
        <f>SUM(+L17+Q17)</f>
        <v>220</v>
      </c>
      <c r="S17" s="88" t="s">
        <v>379</v>
      </c>
      <c r="T17" s="91"/>
      <c r="U17" s="95">
        <v>412128</v>
      </c>
      <c r="V17" s="90">
        <v>3000</v>
      </c>
      <c r="W17" s="90">
        <v>20</v>
      </c>
      <c r="X17" s="90">
        <f>SUM(+R17+W17)</f>
        <v>240</v>
      </c>
      <c r="Y17" s="88" t="s">
        <v>379</v>
      </c>
      <c r="Z17" s="91"/>
      <c r="AA17" s="95">
        <v>412128</v>
      </c>
      <c r="AB17" s="90">
        <v>3000</v>
      </c>
      <c r="AC17" s="90">
        <f>+งบดุลบัญชี!AF62</f>
        <v>120</v>
      </c>
      <c r="AD17" s="90">
        <f>SUM(+X17+AC17)</f>
        <v>360</v>
      </c>
      <c r="AE17" s="88" t="s">
        <v>379</v>
      </c>
      <c r="AF17" s="91"/>
      <c r="AG17" s="95">
        <v>412128</v>
      </c>
      <c r="AH17" s="90">
        <v>3000</v>
      </c>
      <c r="AI17" s="90">
        <f>+งบดุลบัญชี!AL62</f>
        <v>150</v>
      </c>
      <c r="AJ17" s="90">
        <f>SUM(+AD17+AI17)</f>
        <v>510</v>
      </c>
      <c r="AK17" s="88" t="s">
        <v>379</v>
      </c>
      <c r="AL17" s="91"/>
      <c r="AM17" s="95">
        <v>412128</v>
      </c>
      <c r="AN17" s="90">
        <v>3000</v>
      </c>
      <c r="AO17" s="90">
        <f>+งบดุลบัญชี!AR62</f>
        <v>0</v>
      </c>
      <c r="AP17" s="90">
        <f t="shared" si="0"/>
        <v>510</v>
      </c>
      <c r="AQ17" s="88" t="s">
        <v>379</v>
      </c>
      <c r="AR17" s="91"/>
      <c r="AS17" s="95">
        <v>412128</v>
      </c>
      <c r="AT17" s="90">
        <v>3000</v>
      </c>
      <c r="AU17" s="90">
        <f>+งบดุลบัญชี!AX62</f>
        <v>0</v>
      </c>
      <c r="AV17" s="90">
        <f t="shared" si="1"/>
        <v>510</v>
      </c>
    </row>
    <row r="18" spans="1:48" ht="18.75">
      <c r="A18" s="88" t="s">
        <v>380</v>
      </c>
      <c r="B18" s="91"/>
      <c r="C18" s="95">
        <v>412199</v>
      </c>
      <c r="D18" s="90">
        <v>1000</v>
      </c>
      <c r="E18" s="90">
        <v>20</v>
      </c>
      <c r="F18" s="90">
        <f t="shared" si="2"/>
        <v>20</v>
      </c>
      <c r="G18" s="88" t="s">
        <v>380</v>
      </c>
      <c r="H18" s="91"/>
      <c r="I18" s="95">
        <v>412199</v>
      </c>
      <c r="J18" s="90">
        <v>1000</v>
      </c>
      <c r="K18" s="90">
        <v>20</v>
      </c>
      <c r="L18" s="90">
        <f t="shared" si="3"/>
        <v>40</v>
      </c>
      <c r="M18" s="88" t="s">
        <v>380</v>
      </c>
      <c r="N18" s="91"/>
      <c r="O18" s="95">
        <v>412199</v>
      </c>
      <c r="P18" s="90">
        <v>1000</v>
      </c>
      <c r="Q18" s="90">
        <v>0</v>
      </c>
      <c r="R18" s="90">
        <f>SUM(+L18+Q18)</f>
        <v>40</v>
      </c>
      <c r="S18" s="88" t="s">
        <v>380</v>
      </c>
      <c r="T18" s="91"/>
      <c r="U18" s="95">
        <v>412199</v>
      </c>
      <c r="V18" s="90">
        <v>1000</v>
      </c>
      <c r="W18" s="90">
        <v>100</v>
      </c>
      <c r="X18" s="90">
        <f>SUM(+R18+W18)</f>
        <v>140</v>
      </c>
      <c r="Y18" s="88" t="s">
        <v>380</v>
      </c>
      <c r="Z18" s="91"/>
      <c r="AA18" s="95">
        <v>412199</v>
      </c>
      <c r="AB18" s="90">
        <v>1000</v>
      </c>
      <c r="AC18" s="90">
        <v>0</v>
      </c>
      <c r="AD18" s="90">
        <f>SUM(+X18+AC18)</f>
        <v>140</v>
      </c>
      <c r="AE18" s="88" t="s">
        <v>380</v>
      </c>
      <c r="AF18" s="91"/>
      <c r="AG18" s="95">
        <v>412199</v>
      </c>
      <c r="AH18" s="90">
        <v>1000</v>
      </c>
      <c r="AI18" s="90">
        <v>40</v>
      </c>
      <c r="AJ18" s="90">
        <f>SUM(+AD18+AI18)</f>
        <v>180</v>
      </c>
      <c r="AK18" s="88" t="s">
        <v>380</v>
      </c>
      <c r="AL18" s="91"/>
      <c r="AM18" s="95">
        <v>412199</v>
      </c>
      <c r="AN18" s="90">
        <v>1000</v>
      </c>
      <c r="AO18" s="90">
        <f>+งบดุลบัญชี!AR63</f>
        <v>20</v>
      </c>
      <c r="AP18" s="90">
        <f t="shared" si="0"/>
        <v>200</v>
      </c>
      <c r="AQ18" s="88" t="s">
        <v>380</v>
      </c>
      <c r="AR18" s="91"/>
      <c r="AS18" s="95">
        <v>412199</v>
      </c>
      <c r="AT18" s="90">
        <v>1000</v>
      </c>
      <c r="AU18" s="90">
        <f>+งบดุลบัญชี!AX63</f>
        <v>0</v>
      </c>
      <c r="AV18" s="90">
        <f t="shared" si="1"/>
        <v>200</v>
      </c>
    </row>
    <row r="19" spans="1:48" ht="18.75">
      <c r="A19" s="88" t="s">
        <v>381</v>
      </c>
      <c r="B19" s="91"/>
      <c r="C19" s="95">
        <v>412202</v>
      </c>
      <c r="D19" s="90">
        <v>500</v>
      </c>
      <c r="E19" s="90">
        <v>0</v>
      </c>
      <c r="F19" s="90">
        <f t="shared" si="2"/>
        <v>0</v>
      </c>
      <c r="G19" s="88" t="s">
        <v>381</v>
      </c>
      <c r="H19" s="91"/>
      <c r="I19" s="95">
        <v>412202</v>
      </c>
      <c r="J19" s="90">
        <v>500</v>
      </c>
      <c r="K19" s="90">
        <f>SUM(งบดุลบัญชี!N64)</f>
        <v>0</v>
      </c>
      <c r="L19" s="90">
        <f t="shared" si="3"/>
        <v>0</v>
      </c>
      <c r="M19" s="88" t="s">
        <v>381</v>
      </c>
      <c r="N19" s="91"/>
      <c r="O19" s="95">
        <v>412202</v>
      </c>
      <c r="P19" s="90">
        <v>500</v>
      </c>
      <c r="Q19" s="90">
        <f>SUM(งบดุลบัญชี!T64)</f>
        <v>0</v>
      </c>
      <c r="R19" s="90">
        <f>SUM(+L19+Q19)</f>
        <v>0</v>
      </c>
      <c r="S19" s="88" t="s">
        <v>381</v>
      </c>
      <c r="T19" s="91"/>
      <c r="U19" s="95">
        <v>412202</v>
      </c>
      <c r="V19" s="90">
        <v>500</v>
      </c>
      <c r="W19" s="90">
        <f>SUM(งบดุลบัญชี!Z64)</f>
        <v>0</v>
      </c>
      <c r="X19" s="90">
        <f>SUM(+R19+W19)</f>
        <v>0</v>
      </c>
      <c r="Y19" s="88" t="s">
        <v>381</v>
      </c>
      <c r="Z19" s="91"/>
      <c r="AA19" s="95">
        <v>412202</v>
      </c>
      <c r="AB19" s="90">
        <v>500</v>
      </c>
      <c r="AC19" s="90">
        <f>SUM(งบดุลบัญชี!AF64)</f>
        <v>0</v>
      </c>
      <c r="AD19" s="90">
        <f>SUM(+X19+AC19)</f>
        <v>0</v>
      </c>
      <c r="AE19" s="88" t="s">
        <v>381</v>
      </c>
      <c r="AF19" s="91"/>
      <c r="AG19" s="95">
        <v>412202</v>
      </c>
      <c r="AH19" s="90">
        <v>500</v>
      </c>
      <c r="AI19" s="90">
        <f>SUM(งบดุลบัญชี!AL64)</f>
        <v>0</v>
      </c>
      <c r="AJ19" s="90">
        <f>SUM(+AD19+AI19)</f>
        <v>0</v>
      </c>
      <c r="AK19" s="88" t="s">
        <v>381</v>
      </c>
      <c r="AL19" s="91"/>
      <c r="AM19" s="95">
        <v>412202</v>
      </c>
      <c r="AN19" s="90">
        <v>500</v>
      </c>
      <c r="AO19" s="90">
        <f>SUM(งบดุลบัญชี!AR64)</f>
        <v>0</v>
      </c>
      <c r="AP19" s="90">
        <f t="shared" si="0"/>
        <v>0</v>
      </c>
      <c r="AQ19" s="88" t="s">
        <v>381</v>
      </c>
      <c r="AR19" s="91"/>
      <c r="AS19" s="95">
        <v>412202</v>
      </c>
      <c r="AT19" s="90">
        <v>500</v>
      </c>
      <c r="AU19" s="90">
        <f>SUM(งบดุลบัญชี!AX64)</f>
        <v>0</v>
      </c>
      <c r="AV19" s="90">
        <f t="shared" si="1"/>
        <v>0</v>
      </c>
    </row>
    <row r="20" spans="1:48" ht="18.75">
      <c r="A20" s="88" t="s">
        <v>382</v>
      </c>
      <c r="B20" s="91"/>
      <c r="C20" s="95">
        <v>412210</v>
      </c>
      <c r="D20" s="90">
        <v>90000</v>
      </c>
      <c r="E20" s="90">
        <v>2800</v>
      </c>
      <c r="F20" s="90">
        <f t="shared" si="2"/>
        <v>2800</v>
      </c>
      <c r="G20" s="88" t="s">
        <v>382</v>
      </c>
      <c r="H20" s="91"/>
      <c r="I20" s="95">
        <v>412210</v>
      </c>
      <c r="J20" s="90">
        <v>90000</v>
      </c>
      <c r="K20" s="90">
        <f>SUM(งบดุลบัญชี!N65)</f>
        <v>0</v>
      </c>
      <c r="L20" s="90">
        <f>SUM(+F20+K20)</f>
        <v>2800</v>
      </c>
      <c r="M20" s="88" t="s">
        <v>382</v>
      </c>
      <c r="N20" s="91"/>
      <c r="O20" s="95">
        <v>412210</v>
      </c>
      <c r="P20" s="90">
        <v>90000</v>
      </c>
      <c r="Q20" s="90">
        <f>SUM(งบดุลบัญชี!T65)</f>
        <v>22446</v>
      </c>
      <c r="R20" s="90">
        <f>SUM(+L20+Q20)</f>
        <v>25246</v>
      </c>
      <c r="S20" s="88" t="s">
        <v>382</v>
      </c>
      <c r="T20" s="91"/>
      <c r="U20" s="95">
        <v>412210</v>
      </c>
      <c r="V20" s="90">
        <v>90000</v>
      </c>
      <c r="W20" s="90">
        <f>SUM(งบดุลบัญชี!Z65)</f>
        <v>26352</v>
      </c>
      <c r="X20" s="90">
        <f>SUM(+R20+W20)</f>
        <v>51598</v>
      </c>
      <c r="Y20" s="88" t="s">
        <v>382</v>
      </c>
      <c r="Z20" s="91"/>
      <c r="AA20" s="95">
        <v>412210</v>
      </c>
      <c r="AB20" s="90">
        <v>90000</v>
      </c>
      <c r="AC20" s="90">
        <f>SUM(งบดุลบัญชี!AF65)</f>
        <v>0</v>
      </c>
      <c r="AD20" s="90">
        <f>SUM(+X20+AC20)</f>
        <v>51598</v>
      </c>
      <c r="AE20" s="88" t="s">
        <v>382</v>
      </c>
      <c r="AF20" s="91"/>
      <c r="AG20" s="95">
        <v>412210</v>
      </c>
      <c r="AH20" s="90">
        <v>90000</v>
      </c>
      <c r="AI20" s="90">
        <f>SUM(งบดุลบัญชี!AL65)</f>
        <v>800</v>
      </c>
      <c r="AJ20" s="90">
        <f>SUM(+AD20+AI20)</f>
        <v>52398</v>
      </c>
      <c r="AK20" s="88" t="s">
        <v>382</v>
      </c>
      <c r="AL20" s="91"/>
      <c r="AM20" s="95">
        <v>412210</v>
      </c>
      <c r="AN20" s="90">
        <v>90000</v>
      </c>
      <c r="AO20" s="90">
        <f>SUM(งบดุลบัญชี!AR65)</f>
        <v>0</v>
      </c>
      <c r="AP20" s="90">
        <f t="shared" si="0"/>
        <v>52398</v>
      </c>
      <c r="AQ20" s="88" t="s">
        <v>382</v>
      </c>
      <c r="AR20" s="91"/>
      <c r="AS20" s="95">
        <v>412210</v>
      </c>
      <c r="AT20" s="90">
        <v>90000</v>
      </c>
      <c r="AU20" s="90">
        <f>SUM(งบดุลบัญชี!AX65)</f>
        <v>0</v>
      </c>
      <c r="AV20" s="90">
        <f t="shared" si="1"/>
        <v>52398</v>
      </c>
    </row>
    <row r="21" spans="1:48" ht="18.75">
      <c r="A21" s="88" t="s">
        <v>383</v>
      </c>
      <c r="B21" s="91"/>
      <c r="C21" s="95">
        <v>412303</v>
      </c>
      <c r="D21" s="90">
        <v>5000</v>
      </c>
      <c r="E21" s="90">
        <v>0</v>
      </c>
      <c r="F21" s="90">
        <f t="shared" si="2"/>
        <v>0</v>
      </c>
      <c r="G21" s="88" t="s">
        <v>383</v>
      </c>
      <c r="H21" s="91"/>
      <c r="I21" s="95">
        <v>412303</v>
      </c>
      <c r="J21" s="90">
        <v>5000</v>
      </c>
      <c r="K21" s="90">
        <f>SUM(งบดุลบัญชี!N66)</f>
        <v>200</v>
      </c>
      <c r="L21" s="90">
        <f t="shared" si="3"/>
        <v>200</v>
      </c>
      <c r="M21" s="88" t="s">
        <v>383</v>
      </c>
      <c r="N21" s="91"/>
      <c r="O21" s="95">
        <v>412303</v>
      </c>
      <c r="P21" s="90">
        <v>5000</v>
      </c>
      <c r="Q21" s="90">
        <f>SUM(งบดุลบัญชี!T66)</f>
        <v>0</v>
      </c>
      <c r="R21" s="90">
        <f>SUM(+L21+Q21)</f>
        <v>200</v>
      </c>
      <c r="S21" s="88" t="s">
        <v>383</v>
      </c>
      <c r="T21" s="91"/>
      <c r="U21" s="95">
        <v>412303</v>
      </c>
      <c r="V21" s="90">
        <v>5000</v>
      </c>
      <c r="W21" s="90">
        <f>SUM(งบดุลบัญชี!Z66)</f>
        <v>0</v>
      </c>
      <c r="X21" s="90">
        <f>SUM(+R21+W21)</f>
        <v>200</v>
      </c>
      <c r="Y21" s="88" t="s">
        <v>383</v>
      </c>
      <c r="Z21" s="91"/>
      <c r="AA21" s="95">
        <v>412303</v>
      </c>
      <c r="AB21" s="90">
        <v>5000</v>
      </c>
      <c r="AC21" s="90">
        <f>SUM(งบดุลบัญชี!AF66)</f>
        <v>1200</v>
      </c>
      <c r="AD21" s="90">
        <f>SUM(+X21+AC21)</f>
        <v>1400</v>
      </c>
      <c r="AE21" s="88" t="s">
        <v>383</v>
      </c>
      <c r="AF21" s="91"/>
      <c r="AG21" s="95">
        <v>412303</v>
      </c>
      <c r="AH21" s="90">
        <v>5000</v>
      </c>
      <c r="AI21" s="90">
        <f>SUM(งบดุลบัญชี!AL66)</f>
        <v>200</v>
      </c>
      <c r="AJ21" s="90">
        <f>SUM(+AD21+AI21)</f>
        <v>1600</v>
      </c>
      <c r="AK21" s="88" t="s">
        <v>383</v>
      </c>
      <c r="AL21" s="91"/>
      <c r="AM21" s="95">
        <v>412303</v>
      </c>
      <c r="AN21" s="90">
        <v>5000</v>
      </c>
      <c r="AO21" s="90">
        <f>SUM(งบดุลบัญชี!AR66)</f>
        <v>0</v>
      </c>
      <c r="AP21" s="90">
        <f t="shared" si="0"/>
        <v>1600</v>
      </c>
      <c r="AQ21" s="88" t="s">
        <v>383</v>
      </c>
      <c r="AR21" s="91"/>
      <c r="AS21" s="95">
        <v>412303</v>
      </c>
      <c r="AT21" s="90">
        <v>5000</v>
      </c>
      <c r="AU21" s="90">
        <f>SUM(งบดุลบัญชี!AX66)</f>
        <v>0</v>
      </c>
      <c r="AV21" s="90">
        <f t="shared" si="1"/>
        <v>1600</v>
      </c>
    </row>
    <row r="22" spans="1:48" ht="18.75">
      <c r="A22" s="88" t="s">
        <v>384</v>
      </c>
      <c r="B22" s="91"/>
      <c r="C22" s="95">
        <v>412304</v>
      </c>
      <c r="D22" s="90">
        <v>1600</v>
      </c>
      <c r="E22" s="90">
        <v>0</v>
      </c>
      <c r="F22" s="90">
        <f t="shared" si="2"/>
        <v>0</v>
      </c>
      <c r="G22" s="88" t="s">
        <v>384</v>
      </c>
      <c r="H22" s="91"/>
      <c r="I22" s="95">
        <v>412304</v>
      </c>
      <c r="J22" s="90">
        <v>1600</v>
      </c>
      <c r="K22" s="90">
        <f>SUM(งบดุลบัญชี!N67)</f>
        <v>250</v>
      </c>
      <c r="L22" s="90">
        <f t="shared" si="3"/>
        <v>250</v>
      </c>
      <c r="M22" s="88" t="s">
        <v>384</v>
      </c>
      <c r="N22" s="91"/>
      <c r="O22" s="95">
        <v>412304</v>
      </c>
      <c r="P22" s="90">
        <v>1600</v>
      </c>
      <c r="Q22" s="90">
        <f>SUM(งบดุลบัญชี!T67)</f>
        <v>0</v>
      </c>
      <c r="R22" s="90">
        <f>SUM(+L22+Q22)</f>
        <v>250</v>
      </c>
      <c r="S22" s="88" t="s">
        <v>384</v>
      </c>
      <c r="T22" s="91"/>
      <c r="U22" s="95">
        <v>412304</v>
      </c>
      <c r="V22" s="90">
        <v>1600</v>
      </c>
      <c r="W22" s="90">
        <f>SUM(งบดุลบัญชี!Z67)</f>
        <v>250</v>
      </c>
      <c r="X22" s="90">
        <f>SUM(+R22+W22)</f>
        <v>500</v>
      </c>
      <c r="Y22" s="88" t="s">
        <v>384</v>
      </c>
      <c r="Z22" s="91"/>
      <c r="AA22" s="95">
        <v>412304</v>
      </c>
      <c r="AB22" s="90">
        <v>1600</v>
      </c>
      <c r="AC22" s="90">
        <f>SUM(งบดุลบัญชี!AF67)</f>
        <v>0</v>
      </c>
      <c r="AD22" s="90">
        <f>SUM(+X22+AC22)</f>
        <v>500</v>
      </c>
      <c r="AE22" s="88" t="s">
        <v>384</v>
      </c>
      <c r="AF22" s="91"/>
      <c r="AG22" s="95">
        <v>412304</v>
      </c>
      <c r="AH22" s="90">
        <v>1600</v>
      </c>
      <c r="AI22" s="90">
        <f>SUM(งบดุลบัญชี!AL67)</f>
        <v>0</v>
      </c>
      <c r="AJ22" s="90">
        <f>SUM(+AD22+AI22)</f>
        <v>500</v>
      </c>
      <c r="AK22" s="88" t="s">
        <v>384</v>
      </c>
      <c r="AL22" s="91"/>
      <c r="AM22" s="95">
        <v>412304</v>
      </c>
      <c r="AN22" s="90">
        <v>1600</v>
      </c>
      <c r="AO22" s="90">
        <f>SUM(งบดุลบัญชี!AR67)</f>
        <v>0</v>
      </c>
      <c r="AP22" s="90">
        <f t="shared" si="0"/>
        <v>500</v>
      </c>
      <c r="AQ22" s="88" t="s">
        <v>384</v>
      </c>
      <c r="AR22" s="91"/>
      <c r="AS22" s="95">
        <v>412304</v>
      </c>
      <c r="AT22" s="90">
        <v>1600</v>
      </c>
      <c r="AU22" s="90">
        <f>SUM(งบดุลบัญชี!AX67)</f>
        <v>0</v>
      </c>
      <c r="AV22" s="90">
        <f t="shared" si="1"/>
        <v>500</v>
      </c>
    </row>
    <row r="23" spans="1:48" ht="18.75">
      <c r="A23" s="88" t="s">
        <v>385</v>
      </c>
      <c r="B23" s="91"/>
      <c r="C23" s="95">
        <v>412306</v>
      </c>
      <c r="D23" s="90">
        <v>3000</v>
      </c>
      <c r="E23" s="90">
        <v>0</v>
      </c>
      <c r="F23" s="90">
        <f t="shared" si="2"/>
        <v>0</v>
      </c>
      <c r="G23" s="88" t="s">
        <v>385</v>
      </c>
      <c r="H23" s="91"/>
      <c r="I23" s="95">
        <v>412306</v>
      </c>
      <c r="J23" s="90">
        <v>3000</v>
      </c>
      <c r="K23" s="90">
        <f>SUM(งบดุลบัญชี!N68)</f>
        <v>0</v>
      </c>
      <c r="L23" s="90">
        <f>SUM(+F23+K23)</f>
        <v>0</v>
      </c>
      <c r="M23" s="88" t="s">
        <v>385</v>
      </c>
      <c r="N23" s="91"/>
      <c r="O23" s="95">
        <v>412306</v>
      </c>
      <c r="P23" s="90">
        <v>3000</v>
      </c>
      <c r="Q23" s="90">
        <f>SUM(งบดุลบัญชี!T68)</f>
        <v>0</v>
      </c>
      <c r="R23" s="90">
        <f>SUM(+L23+Q23)</f>
        <v>0</v>
      </c>
      <c r="S23" s="88" t="s">
        <v>385</v>
      </c>
      <c r="T23" s="91"/>
      <c r="U23" s="95">
        <v>412306</v>
      </c>
      <c r="V23" s="90">
        <v>3000</v>
      </c>
      <c r="W23" s="90">
        <f>SUM(งบดุลบัญชี!Z68)</f>
        <v>0</v>
      </c>
      <c r="X23" s="90">
        <f>SUM(+R23+W23)</f>
        <v>0</v>
      </c>
      <c r="Y23" s="88" t="s">
        <v>385</v>
      </c>
      <c r="Z23" s="91"/>
      <c r="AA23" s="95">
        <v>412306</v>
      </c>
      <c r="AB23" s="90">
        <v>3000</v>
      </c>
      <c r="AC23" s="90">
        <f>SUM(งบดุลบัญชี!AF68)</f>
        <v>0</v>
      </c>
      <c r="AD23" s="90">
        <f>SUM(+X23+AC23)</f>
        <v>0</v>
      </c>
      <c r="AE23" s="88" t="s">
        <v>385</v>
      </c>
      <c r="AF23" s="91"/>
      <c r="AG23" s="95">
        <v>412306</v>
      </c>
      <c r="AH23" s="90">
        <v>3000</v>
      </c>
      <c r="AI23" s="90">
        <f>SUM(งบดุลบัญชี!AL68)</f>
        <v>0</v>
      </c>
      <c r="AJ23" s="90">
        <f>SUM(+AD23+AI23)</f>
        <v>0</v>
      </c>
      <c r="AK23" s="88" t="s">
        <v>385</v>
      </c>
      <c r="AL23" s="91"/>
      <c r="AM23" s="95">
        <v>412306</v>
      </c>
      <c r="AN23" s="90">
        <v>3000</v>
      </c>
      <c r="AO23" s="90">
        <f>SUM(งบดุลบัญชี!AR68)</f>
        <v>0</v>
      </c>
      <c r="AP23" s="90">
        <f t="shared" si="0"/>
        <v>0</v>
      </c>
      <c r="AQ23" s="88" t="s">
        <v>385</v>
      </c>
      <c r="AR23" s="91"/>
      <c r="AS23" s="95">
        <v>412306</v>
      </c>
      <c r="AT23" s="90">
        <v>3000</v>
      </c>
      <c r="AU23" s="90">
        <v>3200</v>
      </c>
      <c r="AV23" s="90">
        <f t="shared" si="1"/>
        <v>3200</v>
      </c>
    </row>
    <row r="24" spans="1:48" ht="18.75">
      <c r="A24" s="88"/>
      <c r="B24" s="91"/>
      <c r="C24" s="95"/>
      <c r="D24" s="90"/>
      <c r="E24" s="90"/>
      <c r="F24" s="90"/>
      <c r="G24" s="88"/>
      <c r="H24" s="91"/>
      <c r="I24" s="95"/>
      <c r="J24" s="90"/>
      <c r="K24" s="90"/>
      <c r="L24" s="90"/>
      <c r="M24" s="88"/>
      <c r="N24" s="91"/>
      <c r="O24" s="95"/>
      <c r="P24" s="90"/>
      <c r="Q24" s="90"/>
      <c r="R24" s="90"/>
      <c r="S24" s="88"/>
      <c r="T24" s="91"/>
      <c r="U24" s="95"/>
      <c r="V24" s="90"/>
      <c r="W24" s="90"/>
      <c r="X24" s="90"/>
      <c r="Y24" s="88"/>
      <c r="Z24" s="91"/>
      <c r="AA24" s="95"/>
      <c r="AB24" s="90"/>
      <c r="AC24" s="90"/>
      <c r="AD24" s="90"/>
      <c r="AE24" s="88"/>
      <c r="AF24" s="91"/>
      <c r="AG24" s="95"/>
      <c r="AH24" s="90"/>
      <c r="AI24" s="90"/>
      <c r="AJ24" s="90"/>
      <c r="AK24" s="88"/>
      <c r="AL24" s="91"/>
      <c r="AM24" s="95"/>
      <c r="AN24" s="90"/>
      <c r="AO24" s="90"/>
      <c r="AP24" s="90"/>
      <c r="AQ24" s="88"/>
      <c r="AR24" s="91"/>
      <c r="AS24" s="95"/>
      <c r="AT24" s="90"/>
      <c r="AU24" s="90"/>
      <c r="AV24" s="90"/>
    </row>
    <row r="25" spans="1:48" s="83" customFormat="1" ht="18.75">
      <c r="A25" s="93" t="s">
        <v>17</v>
      </c>
      <c r="B25" s="152"/>
      <c r="C25" s="94"/>
      <c r="D25" s="25">
        <f>SUM(D13:D23)</f>
        <v>260200</v>
      </c>
      <c r="E25" s="25">
        <f>SUM(E14:E23)</f>
        <v>19980</v>
      </c>
      <c r="F25" s="25">
        <f>SUM(F14:F23)</f>
        <v>19980</v>
      </c>
      <c r="G25" s="93" t="s">
        <v>17</v>
      </c>
      <c r="H25" s="198"/>
      <c r="I25" s="94"/>
      <c r="J25" s="25">
        <f>SUM(J14:J23)</f>
        <v>260100</v>
      </c>
      <c r="K25" s="25">
        <f>SUM(K13:K23)</f>
        <v>17470</v>
      </c>
      <c r="L25" s="25">
        <f>SUM(L13:L23)</f>
        <v>37450</v>
      </c>
      <c r="M25" s="93" t="s">
        <v>17</v>
      </c>
      <c r="N25" s="330"/>
      <c r="O25" s="94"/>
      <c r="P25" s="25">
        <f>SUM(P14:P23)</f>
        <v>260100</v>
      </c>
      <c r="Q25" s="25">
        <f>SUM(Q13:Q23)</f>
        <v>44153</v>
      </c>
      <c r="R25" s="25">
        <f>SUM(R13:R23)</f>
        <v>81603</v>
      </c>
      <c r="S25" s="93" t="s">
        <v>17</v>
      </c>
      <c r="T25" s="344"/>
      <c r="U25" s="94"/>
      <c r="V25" s="25">
        <f>SUM(V14:V23)</f>
        <v>260100</v>
      </c>
      <c r="W25" s="25">
        <f>SUM(W13:W23)</f>
        <v>43642</v>
      </c>
      <c r="X25" s="25">
        <f>SUM(X13:X23)</f>
        <v>125245</v>
      </c>
      <c r="Y25" s="93" t="s">
        <v>17</v>
      </c>
      <c r="Z25" s="361"/>
      <c r="AA25" s="94"/>
      <c r="AB25" s="25">
        <f>SUM(AB14:AB23)</f>
        <v>260100</v>
      </c>
      <c r="AC25" s="25">
        <f>SUM(AC13:AC23)</f>
        <v>19358.2</v>
      </c>
      <c r="AD25" s="25">
        <f>SUM(AD13:AD23)</f>
        <v>144603.2</v>
      </c>
      <c r="AE25" s="93" t="s">
        <v>17</v>
      </c>
      <c r="AF25" s="378"/>
      <c r="AG25" s="94"/>
      <c r="AH25" s="25">
        <f>SUM(AH14:AH23)</f>
        <v>260100</v>
      </c>
      <c r="AI25" s="25">
        <f>SUM(AI13:AI23)</f>
        <v>19650</v>
      </c>
      <c r="AJ25" s="25">
        <f>SUM(AJ13:AJ23)</f>
        <v>164253.2</v>
      </c>
      <c r="AK25" s="93" t="s">
        <v>17</v>
      </c>
      <c r="AL25" s="399"/>
      <c r="AM25" s="94"/>
      <c r="AN25" s="25">
        <f>SUM(AN14:AN23)</f>
        <v>260100</v>
      </c>
      <c r="AO25" s="25">
        <f>SUM(AO13:AO23)</f>
        <v>16240</v>
      </c>
      <c r="AP25" s="25">
        <f>SUM(AP13:AP23)</f>
        <v>180493.2</v>
      </c>
      <c r="AQ25" s="93" t="s">
        <v>17</v>
      </c>
      <c r="AR25" s="407"/>
      <c r="AS25" s="94"/>
      <c r="AT25" s="25">
        <f>SUM(AT14:AT23)</f>
        <v>260100</v>
      </c>
      <c r="AU25" s="25">
        <f>SUM(AU13:AU23)</f>
        <v>18160</v>
      </c>
      <c r="AV25" s="25">
        <f>SUM(AV13:AV23)</f>
        <v>198653.2</v>
      </c>
    </row>
    <row r="26" spans="1:48" s="83" customFormat="1" ht="18.75">
      <c r="A26" s="175" t="s">
        <v>97</v>
      </c>
      <c r="B26" s="176"/>
      <c r="C26" s="94">
        <v>413000</v>
      </c>
      <c r="D26" s="174"/>
      <c r="E26" s="174"/>
      <c r="F26" s="174"/>
      <c r="G26" s="175" t="s">
        <v>97</v>
      </c>
      <c r="H26" s="176"/>
      <c r="I26" s="94">
        <v>413000</v>
      </c>
      <c r="J26" s="174"/>
      <c r="K26" s="174"/>
      <c r="L26" s="174"/>
      <c r="M26" s="175" t="s">
        <v>97</v>
      </c>
      <c r="N26" s="176"/>
      <c r="O26" s="94">
        <v>413000</v>
      </c>
      <c r="P26" s="174"/>
      <c r="Q26" s="174"/>
      <c r="R26" s="174"/>
      <c r="S26" s="175" t="s">
        <v>97</v>
      </c>
      <c r="T26" s="176"/>
      <c r="U26" s="94">
        <v>413000</v>
      </c>
      <c r="V26" s="174"/>
      <c r="W26" s="174"/>
      <c r="X26" s="174"/>
      <c r="Y26" s="175" t="s">
        <v>97</v>
      </c>
      <c r="Z26" s="176"/>
      <c r="AA26" s="94">
        <v>413000</v>
      </c>
      <c r="AB26" s="174"/>
      <c r="AC26" s="174"/>
      <c r="AD26" s="174"/>
      <c r="AE26" s="175" t="s">
        <v>97</v>
      </c>
      <c r="AF26" s="176"/>
      <c r="AG26" s="94">
        <v>413000</v>
      </c>
      <c r="AH26" s="174"/>
      <c r="AI26" s="174"/>
      <c r="AJ26" s="174"/>
      <c r="AK26" s="175" t="s">
        <v>97</v>
      </c>
      <c r="AL26" s="176"/>
      <c r="AM26" s="94">
        <v>413000</v>
      </c>
      <c r="AN26" s="174"/>
      <c r="AO26" s="174"/>
      <c r="AP26" s="174"/>
      <c r="AQ26" s="175" t="s">
        <v>97</v>
      </c>
      <c r="AR26" s="176"/>
      <c r="AS26" s="94">
        <v>413000</v>
      </c>
      <c r="AT26" s="174"/>
      <c r="AU26" s="174"/>
      <c r="AV26" s="174"/>
    </row>
    <row r="27" spans="1:48" ht="18.75">
      <c r="A27" s="88" t="s">
        <v>170</v>
      </c>
      <c r="B27" s="91"/>
      <c r="C27" s="95">
        <v>413002</v>
      </c>
      <c r="D27" s="90">
        <v>500</v>
      </c>
      <c r="E27" s="90">
        <f>SUM(งบดุลบัญชี!H72)</f>
        <v>0</v>
      </c>
      <c r="F27" s="90">
        <f>SUM(E27)</f>
        <v>0</v>
      </c>
      <c r="G27" s="88" t="s">
        <v>170</v>
      </c>
      <c r="H27" s="91"/>
      <c r="I27" s="95">
        <v>413002</v>
      </c>
      <c r="J27" s="90">
        <v>500</v>
      </c>
      <c r="K27" s="90">
        <f>SUM(งบดุลบัญชี!N72)</f>
        <v>0</v>
      </c>
      <c r="L27" s="90">
        <f>SUM(+F27+K27)</f>
        <v>0</v>
      </c>
      <c r="M27" s="88" t="s">
        <v>170</v>
      </c>
      <c r="N27" s="91"/>
      <c r="O27" s="95">
        <v>413002</v>
      </c>
      <c r="P27" s="90">
        <v>500</v>
      </c>
      <c r="Q27" s="90">
        <f>SUM(งบดุลบัญชี!T72)</f>
        <v>0</v>
      </c>
      <c r="R27" s="90">
        <f>SUM(+L27+Q27)</f>
        <v>0</v>
      </c>
      <c r="S27" s="88" t="s">
        <v>170</v>
      </c>
      <c r="T27" s="91"/>
      <c r="U27" s="95">
        <v>413002</v>
      </c>
      <c r="V27" s="90">
        <v>500</v>
      </c>
      <c r="W27" s="90">
        <f>SUM(งบดุลบัญชี!Z72)</f>
        <v>0</v>
      </c>
      <c r="X27" s="90">
        <f>SUM(+R27+W27)</f>
        <v>0</v>
      </c>
      <c r="Y27" s="88" t="s">
        <v>170</v>
      </c>
      <c r="Z27" s="91"/>
      <c r="AA27" s="95">
        <v>413002</v>
      </c>
      <c r="AB27" s="90">
        <v>500</v>
      </c>
      <c r="AC27" s="90">
        <f>SUM(งบดุลบัญชี!AF72)</f>
        <v>0</v>
      </c>
      <c r="AD27" s="90">
        <f>SUM(+X27+AC27)</f>
        <v>0</v>
      </c>
      <c r="AE27" s="88" t="s">
        <v>170</v>
      </c>
      <c r="AF27" s="91"/>
      <c r="AG27" s="95">
        <v>413002</v>
      </c>
      <c r="AH27" s="90">
        <v>500</v>
      </c>
      <c r="AI27" s="90">
        <f>SUM(งบดุลบัญชี!AL72)</f>
        <v>0</v>
      </c>
      <c r="AJ27" s="90">
        <f>SUM(+AD27+AI27)</f>
        <v>0</v>
      </c>
      <c r="AK27" s="88" t="s">
        <v>170</v>
      </c>
      <c r="AL27" s="91"/>
      <c r="AM27" s="95">
        <v>413002</v>
      </c>
      <c r="AN27" s="90">
        <v>500</v>
      </c>
      <c r="AO27" s="90">
        <f>SUM(งบดุลบัญชี!AR72)</f>
        <v>0</v>
      </c>
      <c r="AP27" s="90">
        <f>SUM(+AJ27+AO27)</f>
        <v>0</v>
      </c>
      <c r="AQ27" s="88" t="s">
        <v>170</v>
      </c>
      <c r="AR27" s="91"/>
      <c r="AS27" s="95">
        <v>413002</v>
      </c>
      <c r="AT27" s="90">
        <v>500</v>
      </c>
      <c r="AU27" s="90">
        <f>SUM(งบดุลบัญชี!AX72)</f>
        <v>0</v>
      </c>
      <c r="AV27" s="90">
        <f>SUM(+AP27+AU27)</f>
        <v>0</v>
      </c>
    </row>
    <row r="28" spans="1:48" ht="18.75">
      <c r="A28" s="88" t="s">
        <v>171</v>
      </c>
      <c r="B28" s="91"/>
      <c r="C28" s="95">
        <v>413003</v>
      </c>
      <c r="D28" s="90">
        <v>300000</v>
      </c>
      <c r="E28" s="90">
        <f>SUM(งบดุลบัญชี!H73)</f>
        <v>0</v>
      </c>
      <c r="F28" s="90">
        <f>SUM(E28)</f>
        <v>0</v>
      </c>
      <c r="G28" s="88" t="s">
        <v>171</v>
      </c>
      <c r="H28" s="91"/>
      <c r="I28" s="95">
        <v>413003</v>
      </c>
      <c r="J28" s="90">
        <v>300000</v>
      </c>
      <c r="K28" s="90">
        <f>SUM(งบดุลบัญชี!N73)</f>
        <v>0</v>
      </c>
      <c r="L28" s="90">
        <f>SUM(+F28+K28)</f>
        <v>0</v>
      </c>
      <c r="M28" s="88" t="s">
        <v>171</v>
      </c>
      <c r="N28" s="91"/>
      <c r="O28" s="95">
        <v>413003</v>
      </c>
      <c r="P28" s="90">
        <v>300000</v>
      </c>
      <c r="Q28" s="90">
        <f>SUM(งบดุลบัญชี!T73)</f>
        <v>107996.91</v>
      </c>
      <c r="R28" s="90">
        <f>SUM(+L28+Q28)</f>
        <v>107996.91</v>
      </c>
      <c r="S28" s="88" t="s">
        <v>171</v>
      </c>
      <c r="T28" s="91"/>
      <c r="U28" s="95">
        <v>413003</v>
      </c>
      <c r="V28" s="90">
        <v>300000</v>
      </c>
      <c r="W28" s="90">
        <f>SUM(งบดุลบัญชี!Z73)</f>
        <v>0</v>
      </c>
      <c r="X28" s="90">
        <f>SUM(+R28+W28)</f>
        <v>107996.91</v>
      </c>
      <c r="Y28" s="88" t="s">
        <v>171</v>
      </c>
      <c r="Z28" s="91"/>
      <c r="AA28" s="95">
        <v>413003</v>
      </c>
      <c r="AB28" s="90">
        <v>300000</v>
      </c>
      <c r="AC28" s="90">
        <f>SUM(งบดุลบัญชี!AF73)</f>
        <v>0</v>
      </c>
      <c r="AD28" s="90">
        <f>SUM(+X28+AC28)</f>
        <v>107996.91</v>
      </c>
      <c r="AE28" s="88" t="s">
        <v>171</v>
      </c>
      <c r="AF28" s="91"/>
      <c r="AG28" s="95">
        <v>413003</v>
      </c>
      <c r="AH28" s="90">
        <v>300000</v>
      </c>
      <c r="AI28" s="90">
        <f>SUM(งบดุลบัญชี!AL73)</f>
        <v>10461.79</v>
      </c>
      <c r="AJ28" s="90">
        <f>SUM(+AD28+AI28)</f>
        <v>118458.70000000001</v>
      </c>
      <c r="AK28" s="88" t="s">
        <v>171</v>
      </c>
      <c r="AL28" s="91"/>
      <c r="AM28" s="95">
        <v>413003</v>
      </c>
      <c r="AN28" s="90">
        <v>300000</v>
      </c>
      <c r="AO28" s="90">
        <f>SUM(งบดุลบัญชี!AR73)</f>
        <v>0</v>
      </c>
      <c r="AP28" s="90">
        <f>SUM(+AJ28+AO28)</f>
        <v>118458.70000000001</v>
      </c>
      <c r="AQ28" s="88" t="s">
        <v>171</v>
      </c>
      <c r="AR28" s="91"/>
      <c r="AS28" s="95">
        <v>413003</v>
      </c>
      <c r="AT28" s="90">
        <v>300000</v>
      </c>
      <c r="AU28" s="90">
        <f>SUM(งบดุลบัญชี!AX73)</f>
        <v>0</v>
      </c>
      <c r="AV28" s="90">
        <f>SUM(+AP28+AU28)</f>
        <v>118458.70000000001</v>
      </c>
    </row>
    <row r="29" spans="1:48" ht="18.75">
      <c r="A29" s="88" t="s">
        <v>172</v>
      </c>
      <c r="B29" s="91"/>
      <c r="C29" s="95">
        <v>413003</v>
      </c>
      <c r="D29" s="90">
        <v>0</v>
      </c>
      <c r="E29" s="90">
        <f>SUM(งบดุลบัญชี!H74)</f>
        <v>0</v>
      </c>
      <c r="F29" s="90">
        <f>SUM(E29)</f>
        <v>0</v>
      </c>
      <c r="G29" s="88" t="s">
        <v>172</v>
      </c>
      <c r="H29" s="91"/>
      <c r="I29" s="95">
        <v>413003</v>
      </c>
      <c r="J29" s="90"/>
      <c r="K29" s="90">
        <f>SUM(งบดุลบัญชี!N74)</f>
        <v>0</v>
      </c>
      <c r="L29" s="90">
        <f>SUM(+F29+K29)</f>
        <v>0</v>
      </c>
      <c r="M29" s="88" t="s">
        <v>172</v>
      </c>
      <c r="N29" s="91"/>
      <c r="O29" s="95">
        <v>413003</v>
      </c>
      <c r="P29" s="90"/>
      <c r="Q29" s="90">
        <f>SUM(งบดุลบัญชี!T74)</f>
        <v>0</v>
      </c>
      <c r="R29" s="90">
        <f>SUM(+L29+Q29)</f>
        <v>0</v>
      </c>
      <c r="S29" s="88" t="s">
        <v>172</v>
      </c>
      <c r="T29" s="91"/>
      <c r="U29" s="95">
        <v>413003</v>
      </c>
      <c r="V29" s="90"/>
      <c r="W29" s="90">
        <f>SUM(งบดุลบัญชี!Z74)</f>
        <v>0</v>
      </c>
      <c r="X29" s="90">
        <f>SUM(+R29+W29)</f>
        <v>0</v>
      </c>
      <c r="Y29" s="88" t="s">
        <v>172</v>
      </c>
      <c r="Z29" s="91"/>
      <c r="AA29" s="95">
        <v>413003</v>
      </c>
      <c r="AB29" s="90"/>
      <c r="AC29" s="90">
        <f>SUM(งบดุลบัญชี!AF74)</f>
        <v>0</v>
      </c>
      <c r="AD29" s="90">
        <f>SUM(+X29+AC29)</f>
        <v>0</v>
      </c>
      <c r="AE29" s="88" t="s">
        <v>172</v>
      </c>
      <c r="AF29" s="91"/>
      <c r="AG29" s="95">
        <v>413003</v>
      </c>
      <c r="AH29" s="90"/>
      <c r="AI29" s="90">
        <f>SUM(งบดุลบัญชี!AL74)</f>
        <v>0</v>
      </c>
      <c r="AJ29" s="90">
        <f>SUM(+AD29+AI29)</f>
        <v>0</v>
      </c>
      <c r="AK29" s="88" t="s">
        <v>172</v>
      </c>
      <c r="AL29" s="91"/>
      <c r="AM29" s="95">
        <v>413003</v>
      </c>
      <c r="AN29" s="90"/>
      <c r="AO29" s="90">
        <f>SUM(งบดุลบัญชี!AR74)</f>
        <v>0</v>
      </c>
      <c r="AP29" s="90">
        <f>SUM(+AJ29+AO29)</f>
        <v>0</v>
      </c>
      <c r="AQ29" s="88" t="s">
        <v>172</v>
      </c>
      <c r="AR29" s="91"/>
      <c r="AS29" s="95">
        <v>413003</v>
      </c>
      <c r="AT29" s="90"/>
      <c r="AU29" s="90">
        <f>SUM(งบดุลบัญชี!AX74)</f>
        <v>0</v>
      </c>
      <c r="AV29" s="90">
        <f>SUM(+AP29+AU29)</f>
        <v>0</v>
      </c>
    </row>
    <row r="30" spans="1:48" s="83" customFormat="1" ht="18.75">
      <c r="A30" s="93" t="s">
        <v>17</v>
      </c>
      <c r="B30" s="152"/>
      <c r="C30" s="94"/>
      <c r="D30" s="25">
        <f>SUM(D27:D29)</f>
        <v>300500</v>
      </c>
      <c r="E30" s="25">
        <f>SUM(E27:E29)</f>
        <v>0</v>
      </c>
      <c r="F30" s="25">
        <f>SUM(F27:F29)</f>
        <v>0</v>
      </c>
      <c r="G30" s="93" t="s">
        <v>17</v>
      </c>
      <c r="H30" s="198"/>
      <c r="I30" s="94"/>
      <c r="J30" s="25">
        <f>SUM(J27:J29)</f>
        <v>300500</v>
      </c>
      <c r="K30" s="25">
        <f>SUM(K27:K29)</f>
        <v>0</v>
      </c>
      <c r="L30" s="25">
        <f>SUM(L27:L29)</f>
        <v>0</v>
      </c>
      <c r="M30" s="93" t="s">
        <v>17</v>
      </c>
      <c r="N30" s="330"/>
      <c r="O30" s="94"/>
      <c r="P30" s="25">
        <f>SUM(P27:P29)</f>
        <v>300500</v>
      </c>
      <c r="Q30" s="25">
        <f>SUM(Q27:Q29)</f>
        <v>107996.91</v>
      </c>
      <c r="R30" s="25">
        <f>SUM(R27:R29)</f>
        <v>107996.91</v>
      </c>
      <c r="S30" s="93" t="s">
        <v>17</v>
      </c>
      <c r="T30" s="344"/>
      <c r="U30" s="94"/>
      <c r="V30" s="25">
        <f>SUM(V27:V29)</f>
        <v>300500</v>
      </c>
      <c r="W30" s="25">
        <f>SUM(W27:W29)</f>
        <v>0</v>
      </c>
      <c r="X30" s="25">
        <f>SUM(X27:X29)</f>
        <v>107996.91</v>
      </c>
      <c r="Y30" s="93" t="s">
        <v>17</v>
      </c>
      <c r="Z30" s="361"/>
      <c r="AA30" s="94"/>
      <c r="AB30" s="25">
        <f>SUM(AB27:AB29)</f>
        <v>300500</v>
      </c>
      <c r="AC30" s="25">
        <f>SUM(AC27:AC29)</f>
        <v>0</v>
      </c>
      <c r="AD30" s="25">
        <f>SUM(AD27:AD29)</f>
        <v>107996.91</v>
      </c>
      <c r="AE30" s="93" t="s">
        <v>17</v>
      </c>
      <c r="AF30" s="378"/>
      <c r="AG30" s="94"/>
      <c r="AH30" s="25">
        <f>SUM(AH27:AH29)</f>
        <v>300500</v>
      </c>
      <c r="AI30" s="25">
        <f>SUM(AI27:AI29)</f>
        <v>10461.79</v>
      </c>
      <c r="AJ30" s="25">
        <f>SUM(AJ27:AJ29)</f>
        <v>118458.70000000001</v>
      </c>
      <c r="AK30" s="93" t="s">
        <v>17</v>
      </c>
      <c r="AL30" s="399"/>
      <c r="AM30" s="94"/>
      <c r="AN30" s="25">
        <f>SUM(AN27:AN29)</f>
        <v>300500</v>
      </c>
      <c r="AO30" s="25">
        <f>SUM(AO27:AO29)</f>
        <v>0</v>
      </c>
      <c r="AP30" s="25">
        <f>SUM(AP27:AP29)</f>
        <v>118458.70000000001</v>
      </c>
      <c r="AQ30" s="93" t="s">
        <v>17</v>
      </c>
      <c r="AR30" s="407"/>
      <c r="AS30" s="94"/>
      <c r="AT30" s="25">
        <f>SUM(AT27:AT29)</f>
        <v>300500</v>
      </c>
      <c r="AU30" s="25">
        <f>SUM(AU27:AU29)</f>
        <v>0</v>
      </c>
      <c r="AV30" s="25">
        <f>SUM(AV27:AV29)</f>
        <v>118458.70000000001</v>
      </c>
    </row>
    <row r="31" spans="1:48" s="83" customFormat="1" ht="18.75">
      <c r="A31" s="175" t="s">
        <v>100</v>
      </c>
      <c r="B31" s="176"/>
      <c r="C31" s="94"/>
      <c r="D31" s="174"/>
      <c r="E31" s="174"/>
      <c r="F31" s="174"/>
      <c r="G31" s="175" t="s">
        <v>100</v>
      </c>
      <c r="H31" s="176"/>
      <c r="I31" s="94"/>
      <c r="J31" s="174"/>
      <c r="K31" s="174"/>
      <c r="L31" s="174"/>
      <c r="M31" s="175" t="s">
        <v>100</v>
      </c>
      <c r="N31" s="176"/>
      <c r="O31" s="94"/>
      <c r="P31" s="174"/>
      <c r="Q31" s="174"/>
      <c r="R31" s="174"/>
      <c r="S31" s="175" t="s">
        <v>100</v>
      </c>
      <c r="T31" s="176"/>
      <c r="U31" s="94"/>
      <c r="V31" s="174"/>
      <c r="W31" s="174"/>
      <c r="X31" s="174"/>
      <c r="Y31" s="175" t="s">
        <v>100</v>
      </c>
      <c r="Z31" s="176"/>
      <c r="AA31" s="94"/>
      <c r="AB31" s="174"/>
      <c r="AC31" s="174"/>
      <c r="AD31" s="174"/>
      <c r="AE31" s="175" t="s">
        <v>100</v>
      </c>
      <c r="AF31" s="176"/>
      <c r="AG31" s="94"/>
      <c r="AH31" s="174"/>
      <c r="AI31" s="174"/>
      <c r="AJ31" s="174"/>
      <c r="AK31" s="175" t="s">
        <v>100</v>
      </c>
      <c r="AL31" s="176"/>
      <c r="AM31" s="94"/>
      <c r="AN31" s="174"/>
      <c r="AO31" s="174"/>
      <c r="AP31" s="174"/>
      <c r="AQ31" s="175" t="s">
        <v>100</v>
      </c>
      <c r="AR31" s="176"/>
      <c r="AS31" s="94"/>
      <c r="AT31" s="174"/>
      <c r="AU31" s="174"/>
      <c r="AV31" s="174"/>
    </row>
    <row r="32" spans="1:48" ht="18.75">
      <c r="A32" s="88" t="s">
        <v>173</v>
      </c>
      <c r="B32" s="91"/>
      <c r="C32" s="95">
        <v>414999</v>
      </c>
      <c r="D32" s="90">
        <v>200000</v>
      </c>
      <c r="E32" s="177">
        <v>11280</v>
      </c>
      <c r="F32" s="90">
        <f>SUM(E32)</f>
        <v>11280</v>
      </c>
      <c r="G32" s="88" t="s">
        <v>173</v>
      </c>
      <c r="H32" s="91"/>
      <c r="I32" s="95">
        <v>414999</v>
      </c>
      <c r="J32" s="90">
        <v>200000</v>
      </c>
      <c r="K32" s="177">
        <v>14740</v>
      </c>
      <c r="L32" s="90">
        <f>SUM(+F32+K32)</f>
        <v>26020</v>
      </c>
      <c r="M32" s="88" t="s">
        <v>173</v>
      </c>
      <c r="N32" s="91"/>
      <c r="O32" s="95">
        <v>414999</v>
      </c>
      <c r="P32" s="90">
        <v>200000</v>
      </c>
      <c r="Q32" s="177">
        <v>41565</v>
      </c>
      <c r="R32" s="90">
        <f>SUM(+L32+Q32)</f>
        <v>67585</v>
      </c>
      <c r="S32" s="88" t="s">
        <v>173</v>
      </c>
      <c r="T32" s="91"/>
      <c r="U32" s="95">
        <v>414999</v>
      </c>
      <c r="V32" s="90">
        <v>200000</v>
      </c>
      <c r="W32" s="177">
        <v>15875</v>
      </c>
      <c r="X32" s="90">
        <f>SUM(+R32+W32)</f>
        <v>83460</v>
      </c>
      <c r="Y32" s="88" t="s">
        <v>173</v>
      </c>
      <c r="Z32" s="91"/>
      <c r="AA32" s="95">
        <v>414999</v>
      </c>
      <c r="AB32" s="90">
        <v>200000</v>
      </c>
      <c r="AC32" s="177">
        <f>+งบดุลบัญชี!AF76</f>
        <v>63100</v>
      </c>
      <c r="AD32" s="90">
        <f>SUM(+X32+AC32)</f>
        <v>146560</v>
      </c>
      <c r="AE32" s="88" t="s">
        <v>173</v>
      </c>
      <c r="AF32" s="91"/>
      <c r="AG32" s="95">
        <v>414999</v>
      </c>
      <c r="AH32" s="90">
        <v>200000</v>
      </c>
      <c r="AI32" s="177">
        <f>+งบดุลบัญชี!AL76</f>
        <v>24305</v>
      </c>
      <c r="AJ32" s="90">
        <f>SUM(+AD32+AI32)</f>
        <v>170865</v>
      </c>
      <c r="AK32" s="88" t="s">
        <v>173</v>
      </c>
      <c r="AL32" s="91"/>
      <c r="AM32" s="95">
        <v>414999</v>
      </c>
      <c r="AN32" s="90">
        <v>200000</v>
      </c>
      <c r="AO32" s="177">
        <f>+งบดุลบัญชี!AR76</f>
        <v>20995</v>
      </c>
      <c r="AP32" s="90">
        <f>SUM(+AJ32+AO32)</f>
        <v>191860</v>
      </c>
      <c r="AQ32" s="88" t="s">
        <v>173</v>
      </c>
      <c r="AR32" s="91"/>
      <c r="AS32" s="95">
        <v>414999</v>
      </c>
      <c r="AT32" s="90">
        <v>200000</v>
      </c>
      <c r="AU32" s="177">
        <v>25605</v>
      </c>
      <c r="AV32" s="90">
        <f>SUM(+AP32+AU32)</f>
        <v>217465</v>
      </c>
    </row>
    <row r="33" spans="1:48" s="83" customFormat="1" ht="18.75">
      <c r="A33" s="93" t="s">
        <v>17</v>
      </c>
      <c r="B33" s="152"/>
      <c r="C33" s="94"/>
      <c r="D33" s="25">
        <f>SUM(D32)</f>
        <v>200000</v>
      </c>
      <c r="E33" s="25">
        <f>SUM(E32)</f>
        <v>11280</v>
      </c>
      <c r="F33" s="25">
        <f>SUM(F32)</f>
        <v>11280</v>
      </c>
      <c r="G33" s="93" t="s">
        <v>17</v>
      </c>
      <c r="H33" s="198"/>
      <c r="I33" s="94"/>
      <c r="J33" s="25">
        <f>SUM(J32)</f>
        <v>200000</v>
      </c>
      <c r="K33" s="25">
        <f>SUM(K32)</f>
        <v>14740</v>
      </c>
      <c r="L33" s="25">
        <f>SUM(L32)</f>
        <v>26020</v>
      </c>
      <c r="M33" s="93" t="s">
        <v>17</v>
      </c>
      <c r="N33" s="330"/>
      <c r="O33" s="94"/>
      <c r="P33" s="25">
        <f>SUM(P32)</f>
        <v>200000</v>
      </c>
      <c r="Q33" s="25">
        <f>SUM(Q32)</f>
        <v>41565</v>
      </c>
      <c r="R33" s="25">
        <f>SUM(R32)</f>
        <v>67585</v>
      </c>
      <c r="S33" s="93" t="s">
        <v>17</v>
      </c>
      <c r="T33" s="344"/>
      <c r="U33" s="94"/>
      <c r="V33" s="25">
        <f>SUM(V32)</f>
        <v>200000</v>
      </c>
      <c r="W33" s="25">
        <f>SUM(W32)</f>
        <v>15875</v>
      </c>
      <c r="X33" s="25">
        <f>SUM(X32)</f>
        <v>83460</v>
      </c>
      <c r="Y33" s="93" t="s">
        <v>17</v>
      </c>
      <c r="Z33" s="361"/>
      <c r="AA33" s="94"/>
      <c r="AB33" s="25">
        <f>SUM(AB32)</f>
        <v>200000</v>
      </c>
      <c r="AC33" s="25">
        <f>SUM(AC32)</f>
        <v>63100</v>
      </c>
      <c r="AD33" s="25">
        <f>SUM(AD32)</f>
        <v>146560</v>
      </c>
      <c r="AE33" s="93" t="s">
        <v>17</v>
      </c>
      <c r="AF33" s="378"/>
      <c r="AG33" s="94"/>
      <c r="AH33" s="25">
        <f>SUM(AH32)</f>
        <v>200000</v>
      </c>
      <c r="AI33" s="25">
        <f>SUM(AI32)</f>
        <v>24305</v>
      </c>
      <c r="AJ33" s="25">
        <f>SUM(AJ32)</f>
        <v>170865</v>
      </c>
      <c r="AK33" s="93" t="s">
        <v>17</v>
      </c>
      <c r="AL33" s="399"/>
      <c r="AM33" s="94"/>
      <c r="AN33" s="25">
        <f>SUM(AN32)</f>
        <v>200000</v>
      </c>
      <c r="AO33" s="25">
        <f>SUM(AO32)</f>
        <v>20995</v>
      </c>
      <c r="AP33" s="25">
        <f>SUM(AP32)</f>
        <v>191860</v>
      </c>
      <c r="AQ33" s="93" t="s">
        <v>17</v>
      </c>
      <c r="AR33" s="407"/>
      <c r="AS33" s="94"/>
      <c r="AT33" s="25">
        <f>SUM(AT32)</f>
        <v>200000</v>
      </c>
      <c r="AU33" s="25">
        <f>SUM(AU32)</f>
        <v>25605</v>
      </c>
      <c r="AV33" s="25">
        <f>SUM(AV32)</f>
        <v>217465</v>
      </c>
    </row>
    <row r="34" spans="1:48" s="83" customFormat="1" ht="18.75">
      <c r="A34" s="175" t="s">
        <v>101</v>
      </c>
      <c r="B34" s="176"/>
      <c r="C34" s="94">
        <v>415000</v>
      </c>
      <c r="D34" s="174"/>
      <c r="E34" s="174"/>
      <c r="F34" s="174"/>
      <c r="G34" s="175" t="s">
        <v>101</v>
      </c>
      <c r="H34" s="176"/>
      <c r="I34" s="94">
        <v>415000</v>
      </c>
      <c r="J34" s="174"/>
      <c r="K34" s="174"/>
      <c r="L34" s="174"/>
      <c r="M34" s="175" t="s">
        <v>101</v>
      </c>
      <c r="N34" s="176"/>
      <c r="O34" s="94">
        <v>415000</v>
      </c>
      <c r="P34" s="174"/>
      <c r="Q34" s="174"/>
      <c r="R34" s="174"/>
      <c r="S34" s="175" t="s">
        <v>101</v>
      </c>
      <c r="T34" s="176"/>
      <c r="U34" s="94">
        <v>415000</v>
      </c>
      <c r="V34" s="174"/>
      <c r="W34" s="174"/>
      <c r="X34" s="174"/>
      <c r="Y34" s="175" t="s">
        <v>101</v>
      </c>
      <c r="Z34" s="176"/>
      <c r="AA34" s="94">
        <v>415000</v>
      </c>
      <c r="AB34" s="174"/>
      <c r="AC34" s="174"/>
      <c r="AD34" s="174"/>
      <c r="AE34" s="175" t="s">
        <v>101</v>
      </c>
      <c r="AF34" s="176"/>
      <c r="AG34" s="94">
        <v>415000</v>
      </c>
      <c r="AH34" s="174"/>
      <c r="AI34" s="174"/>
      <c r="AJ34" s="174"/>
      <c r="AK34" s="175" t="s">
        <v>101</v>
      </c>
      <c r="AL34" s="176"/>
      <c r="AM34" s="94">
        <v>415000</v>
      </c>
      <c r="AN34" s="174"/>
      <c r="AO34" s="174"/>
      <c r="AP34" s="174"/>
      <c r="AQ34" s="175" t="s">
        <v>101</v>
      </c>
      <c r="AR34" s="176"/>
      <c r="AS34" s="94">
        <v>415000</v>
      </c>
      <c r="AT34" s="174"/>
      <c r="AU34" s="174"/>
      <c r="AV34" s="174"/>
    </row>
    <row r="35" spans="1:48" ht="18.75">
      <c r="A35" s="88" t="s">
        <v>174</v>
      </c>
      <c r="B35" s="91"/>
      <c r="C35" s="95">
        <v>415004</v>
      </c>
      <c r="D35" s="90">
        <v>50000</v>
      </c>
      <c r="E35" s="90">
        <v>151500</v>
      </c>
      <c r="F35" s="90">
        <f>SUM(E35)</f>
        <v>151500</v>
      </c>
      <c r="G35" s="88" t="s">
        <v>174</v>
      </c>
      <c r="H35" s="91"/>
      <c r="I35" s="95">
        <v>415004</v>
      </c>
      <c r="J35" s="90">
        <v>50000</v>
      </c>
      <c r="K35" s="90">
        <f>SUM(งบดุลบัญชี!N78)</f>
        <v>49000</v>
      </c>
      <c r="L35" s="90">
        <f>SUM(+F35+K35)</f>
        <v>200500</v>
      </c>
      <c r="M35" s="88" t="s">
        <v>174</v>
      </c>
      <c r="N35" s="91"/>
      <c r="O35" s="95">
        <v>415004</v>
      </c>
      <c r="P35" s="90">
        <v>50000</v>
      </c>
      <c r="Q35" s="90">
        <v>37000</v>
      </c>
      <c r="R35" s="90">
        <f>SUM(+L35+Q35)</f>
        <v>237500</v>
      </c>
      <c r="S35" s="88" t="s">
        <v>174</v>
      </c>
      <c r="T35" s="91"/>
      <c r="U35" s="95">
        <v>415004</v>
      </c>
      <c r="V35" s="90">
        <v>50000</v>
      </c>
      <c r="W35" s="90">
        <v>9000</v>
      </c>
      <c r="X35" s="90">
        <f>SUM(+R35+W35)</f>
        <v>246500</v>
      </c>
      <c r="Y35" s="88" t="s">
        <v>174</v>
      </c>
      <c r="Z35" s="91"/>
      <c r="AA35" s="95">
        <v>415004</v>
      </c>
      <c r="AB35" s="90">
        <v>50000</v>
      </c>
      <c r="AC35" s="90">
        <f>+งบดุลบัญชี!AF78</f>
        <v>13000</v>
      </c>
      <c r="AD35" s="90">
        <f>SUM(+X35+AC35)</f>
        <v>259500</v>
      </c>
      <c r="AE35" s="88" t="s">
        <v>174</v>
      </c>
      <c r="AF35" s="91"/>
      <c r="AG35" s="95">
        <v>415004</v>
      </c>
      <c r="AH35" s="90">
        <v>50000</v>
      </c>
      <c r="AI35" s="90">
        <f>+งบดุลบัญชี!AL78</f>
        <v>0</v>
      </c>
      <c r="AJ35" s="90">
        <f>SUM(+AD35+AI35)</f>
        <v>259500</v>
      </c>
      <c r="AK35" s="88" t="s">
        <v>174</v>
      </c>
      <c r="AL35" s="91"/>
      <c r="AM35" s="95">
        <v>415004</v>
      </c>
      <c r="AN35" s="90">
        <v>50000</v>
      </c>
      <c r="AO35" s="90">
        <f>+งบดุลบัญชี!AR78</f>
        <v>0</v>
      </c>
      <c r="AP35" s="90">
        <f>SUM(+AJ35+AO35)</f>
        <v>259500</v>
      </c>
      <c r="AQ35" s="88" t="s">
        <v>174</v>
      </c>
      <c r="AR35" s="91"/>
      <c r="AS35" s="95">
        <v>415004</v>
      </c>
      <c r="AT35" s="90">
        <v>50000</v>
      </c>
      <c r="AU35" s="90">
        <f>+งบดุลบัญชี!AX78</f>
        <v>0</v>
      </c>
      <c r="AV35" s="90">
        <f>SUM(+AP35+AU35)</f>
        <v>259500</v>
      </c>
    </row>
    <row r="36" spans="1:48" ht="18.75">
      <c r="A36" s="88" t="s">
        <v>358</v>
      </c>
      <c r="B36" s="91"/>
      <c r="C36" s="95">
        <v>415999</v>
      </c>
      <c r="D36" s="90">
        <v>10000</v>
      </c>
      <c r="E36" s="90">
        <v>30</v>
      </c>
      <c r="F36" s="90">
        <f>SUM(E36)</f>
        <v>30</v>
      </c>
      <c r="G36" s="88" t="s">
        <v>358</v>
      </c>
      <c r="H36" s="91"/>
      <c r="I36" s="95">
        <v>415999</v>
      </c>
      <c r="J36" s="90">
        <v>10000</v>
      </c>
      <c r="K36" s="90">
        <v>20</v>
      </c>
      <c r="L36" s="90">
        <f>SUM(+F36+K36)</f>
        <v>50</v>
      </c>
      <c r="M36" s="88" t="s">
        <v>358</v>
      </c>
      <c r="N36" s="91"/>
      <c r="O36" s="95">
        <v>415999</v>
      </c>
      <c r="P36" s="90">
        <v>10000</v>
      </c>
      <c r="Q36" s="90">
        <v>2580</v>
      </c>
      <c r="R36" s="90">
        <f>SUM(+L36+Q36)</f>
        <v>2630</v>
      </c>
      <c r="S36" s="88" t="s">
        <v>358</v>
      </c>
      <c r="T36" s="91"/>
      <c r="U36" s="95">
        <v>415999</v>
      </c>
      <c r="V36" s="90">
        <v>10000</v>
      </c>
      <c r="W36" s="90">
        <f>75+480</f>
        <v>555</v>
      </c>
      <c r="X36" s="90">
        <f>SUM(+R36+W36)</f>
        <v>3185</v>
      </c>
      <c r="Y36" s="88" t="s">
        <v>358</v>
      </c>
      <c r="Z36" s="91"/>
      <c r="AA36" s="95">
        <v>415999</v>
      </c>
      <c r="AB36" s="90">
        <v>10000</v>
      </c>
      <c r="AC36" s="90">
        <f>+งบดุลบัญชี!AF80</f>
        <v>1615</v>
      </c>
      <c r="AD36" s="90">
        <f>SUM(+X36+AC36)</f>
        <v>4800</v>
      </c>
      <c r="AE36" s="88" t="s">
        <v>358</v>
      </c>
      <c r="AF36" s="91"/>
      <c r="AG36" s="95">
        <v>415999</v>
      </c>
      <c r="AH36" s="90">
        <v>10000</v>
      </c>
      <c r="AI36" s="90">
        <f>+งบดุลบัญชี!AL80+งบดุลบัญชี!AN80</f>
        <v>750.8</v>
      </c>
      <c r="AJ36" s="90">
        <f>SUM(+AD36+AI36)</f>
        <v>5550.8</v>
      </c>
      <c r="AK36" s="88" t="s">
        <v>358</v>
      </c>
      <c r="AL36" s="91"/>
      <c r="AM36" s="95">
        <v>415999</v>
      </c>
      <c r="AN36" s="90">
        <v>10000</v>
      </c>
      <c r="AO36" s="90">
        <f>+งบดุลบัญชี!AR80+งบดุลบัญชี!AT80</f>
        <v>520</v>
      </c>
      <c r="AP36" s="90">
        <f>SUM(+AJ36+AO36)</f>
        <v>6070.8</v>
      </c>
      <c r="AQ36" s="88" t="s">
        <v>358</v>
      </c>
      <c r="AR36" s="91"/>
      <c r="AS36" s="95">
        <v>415999</v>
      </c>
      <c r="AT36" s="90">
        <v>10000</v>
      </c>
      <c r="AU36" s="90">
        <f>+งบดุลบัญชี!AX80+งบดุลบัญชี!AZ80</f>
        <v>0</v>
      </c>
      <c r="AV36" s="90">
        <f>SUM(+AP36+AU36)</f>
        <v>6070.8</v>
      </c>
    </row>
    <row r="37" spans="1:48" s="83" customFormat="1" ht="18.75">
      <c r="A37" s="93" t="s">
        <v>17</v>
      </c>
      <c r="B37" s="152"/>
      <c r="C37" s="94"/>
      <c r="D37" s="25">
        <f>SUM(D35:D36)</f>
        <v>60000</v>
      </c>
      <c r="E37" s="25">
        <f>SUM(E35:E36)</f>
        <v>151530</v>
      </c>
      <c r="F37" s="25">
        <f>SUM(F35:F36)</f>
        <v>151530</v>
      </c>
      <c r="G37" s="93" t="s">
        <v>17</v>
      </c>
      <c r="H37" s="198"/>
      <c r="I37" s="94"/>
      <c r="J37" s="25">
        <f>SUM(J35:J36)</f>
        <v>60000</v>
      </c>
      <c r="K37" s="25">
        <f>SUM(K35:K36)</f>
        <v>49020</v>
      </c>
      <c r="L37" s="25">
        <f>SUM(L35:L36)</f>
        <v>200550</v>
      </c>
      <c r="M37" s="93" t="s">
        <v>17</v>
      </c>
      <c r="N37" s="330"/>
      <c r="O37" s="94"/>
      <c r="P37" s="25">
        <f>SUM(P35:P36)</f>
        <v>60000</v>
      </c>
      <c r="Q37" s="25">
        <f>SUM(Q35:Q36)</f>
        <v>39580</v>
      </c>
      <c r="R37" s="25">
        <f>SUM(R35:R36)</f>
        <v>240130</v>
      </c>
      <c r="S37" s="93" t="s">
        <v>17</v>
      </c>
      <c r="T37" s="344"/>
      <c r="U37" s="94"/>
      <c r="V37" s="25">
        <f>SUM(V35:V36)</f>
        <v>60000</v>
      </c>
      <c r="W37" s="25">
        <f>SUM(W35:W36)</f>
        <v>9555</v>
      </c>
      <c r="X37" s="25">
        <f>SUM(X35:X36)</f>
        <v>249685</v>
      </c>
      <c r="Y37" s="93" t="s">
        <v>17</v>
      </c>
      <c r="Z37" s="361"/>
      <c r="AA37" s="94"/>
      <c r="AB37" s="25">
        <f>SUM(AB35:AB36)</f>
        <v>60000</v>
      </c>
      <c r="AC37" s="25">
        <f>SUM(AC35:AC36)</f>
        <v>14615</v>
      </c>
      <c r="AD37" s="25">
        <f>SUM(AD35:AD36)</f>
        <v>264300</v>
      </c>
      <c r="AE37" s="93" t="s">
        <v>17</v>
      </c>
      <c r="AF37" s="378"/>
      <c r="AG37" s="94"/>
      <c r="AH37" s="25">
        <f>SUM(AH35:AH36)</f>
        <v>60000</v>
      </c>
      <c r="AI37" s="25">
        <f>SUM(AI35:AI36)</f>
        <v>750.8</v>
      </c>
      <c r="AJ37" s="25">
        <f>SUM(AJ35:AJ36)</f>
        <v>265050.8</v>
      </c>
      <c r="AK37" s="93" t="s">
        <v>17</v>
      </c>
      <c r="AL37" s="399"/>
      <c r="AM37" s="94"/>
      <c r="AN37" s="25">
        <f>SUM(AN35:AN36)</f>
        <v>60000</v>
      </c>
      <c r="AO37" s="25">
        <f>SUM(AO35:AO36)</f>
        <v>520</v>
      </c>
      <c r="AP37" s="25">
        <f>SUM(AP35:AP36)</f>
        <v>265570.8</v>
      </c>
      <c r="AQ37" s="93" t="s">
        <v>17</v>
      </c>
      <c r="AR37" s="407"/>
      <c r="AS37" s="94"/>
      <c r="AT37" s="25">
        <f>SUM(AT35:AT36)</f>
        <v>60000</v>
      </c>
      <c r="AU37" s="25">
        <f>SUM(AU35:AU36)</f>
        <v>0</v>
      </c>
      <c r="AV37" s="25">
        <f>SUM(AV35:AV36)</f>
        <v>265570.8</v>
      </c>
    </row>
    <row r="38" spans="1:48" s="83" customFormat="1" ht="18.75">
      <c r="A38" s="175" t="s">
        <v>103</v>
      </c>
      <c r="B38" s="176"/>
      <c r="C38" s="94">
        <v>416000</v>
      </c>
      <c r="D38" s="174"/>
      <c r="E38" s="174"/>
      <c r="F38" s="174"/>
      <c r="G38" s="175" t="s">
        <v>103</v>
      </c>
      <c r="H38" s="176"/>
      <c r="I38" s="94">
        <v>416000</v>
      </c>
      <c r="J38" s="174"/>
      <c r="K38" s="174"/>
      <c r="L38" s="174"/>
      <c r="M38" s="175" t="s">
        <v>103</v>
      </c>
      <c r="N38" s="176"/>
      <c r="O38" s="94">
        <v>416000</v>
      </c>
      <c r="P38" s="174"/>
      <c r="Q38" s="174"/>
      <c r="R38" s="174"/>
      <c r="S38" s="175" t="s">
        <v>103</v>
      </c>
      <c r="T38" s="176"/>
      <c r="U38" s="94">
        <v>416000</v>
      </c>
      <c r="V38" s="174"/>
      <c r="W38" s="174"/>
      <c r="X38" s="174"/>
      <c r="Y38" s="175" t="s">
        <v>103</v>
      </c>
      <c r="Z38" s="176"/>
      <c r="AA38" s="94">
        <v>416000</v>
      </c>
      <c r="AB38" s="174"/>
      <c r="AC38" s="174"/>
      <c r="AD38" s="174"/>
      <c r="AE38" s="175" t="s">
        <v>103</v>
      </c>
      <c r="AF38" s="176"/>
      <c r="AG38" s="94">
        <v>416000</v>
      </c>
      <c r="AH38" s="174"/>
      <c r="AI38" s="174"/>
      <c r="AJ38" s="174"/>
      <c r="AK38" s="175" t="s">
        <v>103</v>
      </c>
      <c r="AL38" s="176"/>
      <c r="AM38" s="94">
        <v>416000</v>
      </c>
      <c r="AN38" s="174"/>
      <c r="AO38" s="174"/>
      <c r="AP38" s="174"/>
      <c r="AQ38" s="175" t="s">
        <v>103</v>
      </c>
      <c r="AR38" s="176"/>
      <c r="AS38" s="94">
        <v>416000</v>
      </c>
      <c r="AT38" s="174"/>
      <c r="AU38" s="174"/>
      <c r="AV38" s="174"/>
    </row>
    <row r="39" spans="1:48" ht="18.75">
      <c r="A39" s="88" t="s">
        <v>175</v>
      </c>
      <c r="B39" s="91"/>
      <c r="C39" s="95">
        <v>416001</v>
      </c>
      <c r="D39" s="90">
        <v>500</v>
      </c>
      <c r="E39" s="90">
        <v>0</v>
      </c>
      <c r="F39" s="90">
        <f>SUM(E39)</f>
        <v>0</v>
      </c>
      <c r="G39" s="88" t="s">
        <v>175</v>
      </c>
      <c r="H39" s="91"/>
      <c r="I39" s="95">
        <v>416001</v>
      </c>
      <c r="J39" s="90">
        <v>500</v>
      </c>
      <c r="K39" s="90">
        <f>SUM(งบดุลบัญชี!N82)</f>
        <v>0</v>
      </c>
      <c r="L39" s="90">
        <f>SUM(+F39+K39)</f>
        <v>0</v>
      </c>
      <c r="M39" s="88" t="s">
        <v>175</v>
      </c>
      <c r="N39" s="91"/>
      <c r="O39" s="95">
        <v>416001</v>
      </c>
      <c r="P39" s="90">
        <v>500</v>
      </c>
      <c r="Q39" s="90">
        <f>SUM(งบดุลบัญชี!T82)</f>
        <v>0</v>
      </c>
      <c r="R39" s="90">
        <f>SUM(+L39+Q39)</f>
        <v>0</v>
      </c>
      <c r="S39" s="88" t="s">
        <v>175</v>
      </c>
      <c r="T39" s="91"/>
      <c r="U39" s="95">
        <v>416001</v>
      </c>
      <c r="V39" s="90">
        <v>500</v>
      </c>
      <c r="W39" s="90">
        <f>SUM(งบดุลบัญชี!Z82)</f>
        <v>0</v>
      </c>
      <c r="X39" s="90">
        <f>SUM(+R39+W39)</f>
        <v>0</v>
      </c>
      <c r="Y39" s="88" t="s">
        <v>175</v>
      </c>
      <c r="Z39" s="91"/>
      <c r="AA39" s="95">
        <v>416001</v>
      </c>
      <c r="AB39" s="90">
        <v>500</v>
      </c>
      <c r="AC39" s="90">
        <f>SUM(งบดุลบัญชี!AF82)</f>
        <v>0</v>
      </c>
      <c r="AD39" s="90">
        <f>SUM(+X39+AC39)</f>
        <v>0</v>
      </c>
      <c r="AE39" s="88" t="s">
        <v>175</v>
      </c>
      <c r="AF39" s="91"/>
      <c r="AG39" s="95">
        <v>416001</v>
      </c>
      <c r="AH39" s="90">
        <v>500</v>
      </c>
      <c r="AI39" s="90">
        <f>SUM(งบดุลบัญชี!AL82)</f>
        <v>0</v>
      </c>
      <c r="AJ39" s="90">
        <f>SUM(+AD39+AI39)</f>
        <v>0</v>
      </c>
      <c r="AK39" s="88" t="s">
        <v>175</v>
      </c>
      <c r="AL39" s="91"/>
      <c r="AM39" s="95">
        <v>416001</v>
      </c>
      <c r="AN39" s="90">
        <v>500</v>
      </c>
      <c r="AO39" s="90">
        <f>SUM(งบดุลบัญชี!AR82)</f>
        <v>144080</v>
      </c>
      <c r="AP39" s="90">
        <f>SUM(+AJ39+AO39)</f>
        <v>144080</v>
      </c>
      <c r="AQ39" s="88" t="s">
        <v>175</v>
      </c>
      <c r="AR39" s="91"/>
      <c r="AS39" s="95">
        <v>416001</v>
      </c>
      <c r="AT39" s="90">
        <v>500</v>
      </c>
      <c r="AU39" s="90">
        <f>SUM(งบดุลบัญชี!AX82)</f>
        <v>0</v>
      </c>
      <c r="AV39" s="90">
        <f>SUM(+AP39+AU39)</f>
        <v>144080</v>
      </c>
    </row>
    <row r="40" spans="1:48" s="83" customFormat="1" ht="18.75">
      <c r="A40" s="179" t="s">
        <v>17</v>
      </c>
      <c r="B40" s="180"/>
      <c r="C40" s="181"/>
      <c r="D40" s="25">
        <f>SUM(D39)</f>
        <v>500</v>
      </c>
      <c r="E40" s="25">
        <f>SUM(E39)</f>
        <v>0</v>
      </c>
      <c r="F40" s="25">
        <f>SUM(F39)</f>
        <v>0</v>
      </c>
      <c r="G40" s="179" t="s">
        <v>17</v>
      </c>
      <c r="H40" s="180"/>
      <c r="I40" s="181"/>
      <c r="J40" s="25">
        <f>SUM(J39)</f>
        <v>500</v>
      </c>
      <c r="K40" s="25">
        <f>SUM(K39)</f>
        <v>0</v>
      </c>
      <c r="L40" s="25">
        <f>SUM(L39)</f>
        <v>0</v>
      </c>
      <c r="M40" s="179" t="s">
        <v>17</v>
      </c>
      <c r="N40" s="180"/>
      <c r="O40" s="181"/>
      <c r="P40" s="25">
        <f>SUM(P39)</f>
        <v>500</v>
      </c>
      <c r="Q40" s="25">
        <f>SUM(Q39)</f>
        <v>0</v>
      </c>
      <c r="R40" s="25">
        <f>SUM(R39)</f>
        <v>0</v>
      </c>
      <c r="S40" s="179" t="s">
        <v>17</v>
      </c>
      <c r="T40" s="180"/>
      <c r="U40" s="181"/>
      <c r="V40" s="25">
        <f>SUM(V39)</f>
        <v>500</v>
      </c>
      <c r="W40" s="25">
        <f>SUM(W39)</f>
        <v>0</v>
      </c>
      <c r="X40" s="25">
        <f>SUM(X39)</f>
        <v>0</v>
      </c>
      <c r="Y40" s="179" t="s">
        <v>17</v>
      </c>
      <c r="Z40" s="180"/>
      <c r="AA40" s="181"/>
      <c r="AB40" s="25">
        <f>SUM(AB39)</f>
        <v>500</v>
      </c>
      <c r="AC40" s="25">
        <f>SUM(AC39)</f>
        <v>0</v>
      </c>
      <c r="AD40" s="25">
        <f>SUM(AD39)</f>
        <v>0</v>
      </c>
      <c r="AE40" s="179" t="s">
        <v>17</v>
      </c>
      <c r="AF40" s="180"/>
      <c r="AG40" s="181"/>
      <c r="AH40" s="25">
        <f>SUM(AH39)</f>
        <v>500</v>
      </c>
      <c r="AI40" s="25">
        <f>SUM(AI39)</f>
        <v>0</v>
      </c>
      <c r="AJ40" s="25">
        <f>SUM(AJ39)</f>
        <v>0</v>
      </c>
      <c r="AK40" s="179" t="s">
        <v>17</v>
      </c>
      <c r="AL40" s="180"/>
      <c r="AM40" s="181"/>
      <c r="AN40" s="25">
        <f>SUM(AN39)</f>
        <v>500</v>
      </c>
      <c r="AO40" s="25">
        <f>SUM(AO39)</f>
        <v>144080</v>
      </c>
      <c r="AP40" s="25">
        <f>SUM(AP39)</f>
        <v>144080</v>
      </c>
      <c r="AQ40" s="179" t="s">
        <v>17</v>
      </c>
      <c r="AR40" s="180"/>
      <c r="AS40" s="181"/>
      <c r="AT40" s="25">
        <f>SUM(AT39)</f>
        <v>500</v>
      </c>
      <c r="AU40" s="25">
        <f>SUM(AU39)</f>
        <v>0</v>
      </c>
      <c r="AV40" s="25">
        <f>SUM(AV39)</f>
        <v>144080</v>
      </c>
    </row>
    <row r="41" spans="1:48" s="83" customFormat="1" ht="18.75">
      <c r="A41" s="150"/>
      <c r="B41" s="150"/>
      <c r="C41" s="150"/>
      <c r="D41" s="182"/>
      <c r="E41" s="182"/>
      <c r="F41" s="182"/>
      <c r="G41" s="197"/>
      <c r="H41" s="197"/>
      <c r="I41" s="197"/>
      <c r="J41" s="182"/>
      <c r="K41" s="182"/>
      <c r="L41" s="182"/>
      <c r="M41" s="326"/>
      <c r="N41" s="326"/>
      <c r="O41" s="326"/>
      <c r="P41" s="182"/>
      <c r="Q41" s="182"/>
      <c r="R41" s="182"/>
      <c r="S41" s="340"/>
      <c r="T41" s="340"/>
      <c r="U41" s="340"/>
      <c r="V41" s="182"/>
      <c r="W41" s="182"/>
      <c r="X41" s="182"/>
      <c r="Y41" s="358"/>
      <c r="Z41" s="358"/>
      <c r="AA41" s="358"/>
      <c r="AB41" s="182"/>
      <c r="AC41" s="182"/>
      <c r="AD41" s="182"/>
      <c r="AE41" s="375"/>
      <c r="AF41" s="375"/>
      <c r="AG41" s="375"/>
      <c r="AH41" s="182"/>
      <c r="AI41" s="182"/>
      <c r="AJ41" s="182"/>
      <c r="AK41" s="395"/>
      <c r="AL41" s="395"/>
      <c r="AM41" s="395"/>
      <c r="AN41" s="182"/>
      <c r="AO41" s="182"/>
      <c r="AP41" s="182"/>
      <c r="AQ41" s="404"/>
      <c r="AR41" s="404"/>
      <c r="AS41" s="404"/>
      <c r="AT41" s="182"/>
      <c r="AU41" s="182"/>
      <c r="AV41" s="182"/>
    </row>
    <row r="42" spans="1:48" s="83" customFormat="1" ht="18.75">
      <c r="A42" s="150"/>
      <c r="B42" s="150"/>
      <c r="C42" s="150"/>
      <c r="D42" s="183"/>
      <c r="E42" s="81"/>
      <c r="F42" s="81"/>
      <c r="G42" s="197"/>
      <c r="H42" s="197"/>
      <c r="I42" s="197"/>
      <c r="J42" s="183"/>
      <c r="K42" s="81"/>
      <c r="L42" s="81"/>
      <c r="M42" s="326"/>
      <c r="N42" s="326"/>
      <c r="O42" s="326"/>
      <c r="P42" s="183"/>
      <c r="Q42" s="81"/>
      <c r="R42" s="81"/>
      <c r="S42" s="340"/>
      <c r="T42" s="340"/>
      <c r="U42" s="340"/>
      <c r="V42" s="183"/>
      <c r="W42" s="81"/>
      <c r="X42" s="81"/>
      <c r="Y42" s="358"/>
      <c r="Z42" s="358"/>
      <c r="AA42" s="358"/>
      <c r="AB42" s="183"/>
      <c r="AC42" s="81"/>
      <c r="AD42" s="81"/>
      <c r="AE42" s="375"/>
      <c r="AF42" s="375"/>
      <c r="AG42" s="375"/>
      <c r="AH42" s="183"/>
      <c r="AI42" s="81"/>
      <c r="AJ42" s="81"/>
      <c r="AK42" s="395"/>
      <c r="AL42" s="395"/>
      <c r="AM42" s="395"/>
      <c r="AN42" s="183"/>
      <c r="AO42" s="81"/>
      <c r="AP42" s="81"/>
      <c r="AQ42" s="404"/>
      <c r="AR42" s="404"/>
      <c r="AS42" s="404"/>
      <c r="AT42" s="183"/>
      <c r="AU42" s="81"/>
      <c r="AV42" s="81"/>
    </row>
    <row r="43" spans="1:48" s="217" customFormat="1" ht="18.75">
      <c r="A43" s="211" t="s">
        <v>0</v>
      </c>
      <c r="B43" s="212"/>
      <c r="C43" s="147" t="s">
        <v>133</v>
      </c>
      <c r="D43" s="147" t="s">
        <v>16</v>
      </c>
      <c r="E43" s="147" t="s">
        <v>166</v>
      </c>
      <c r="F43" s="147" t="s">
        <v>189</v>
      </c>
      <c r="G43" s="211" t="s">
        <v>0</v>
      </c>
      <c r="H43" s="212"/>
      <c r="I43" s="147" t="s">
        <v>133</v>
      </c>
      <c r="J43" s="147" t="s">
        <v>16</v>
      </c>
      <c r="K43" s="147" t="s">
        <v>166</v>
      </c>
      <c r="L43" s="147" t="s">
        <v>189</v>
      </c>
      <c r="M43" s="327" t="s">
        <v>0</v>
      </c>
      <c r="N43" s="328"/>
      <c r="O43" s="147" t="s">
        <v>133</v>
      </c>
      <c r="P43" s="147" t="s">
        <v>16</v>
      </c>
      <c r="Q43" s="147" t="s">
        <v>166</v>
      </c>
      <c r="R43" s="147" t="s">
        <v>189</v>
      </c>
      <c r="S43" s="341" t="s">
        <v>0</v>
      </c>
      <c r="T43" s="342"/>
      <c r="U43" s="147" t="s">
        <v>133</v>
      </c>
      <c r="V43" s="147" t="s">
        <v>16</v>
      </c>
      <c r="W43" s="147" t="s">
        <v>166</v>
      </c>
      <c r="X43" s="147" t="s">
        <v>189</v>
      </c>
      <c r="Y43" s="359" t="s">
        <v>0</v>
      </c>
      <c r="Z43" s="360"/>
      <c r="AA43" s="147" t="s">
        <v>133</v>
      </c>
      <c r="AB43" s="147" t="s">
        <v>16</v>
      </c>
      <c r="AC43" s="147" t="s">
        <v>166</v>
      </c>
      <c r="AD43" s="147" t="s">
        <v>189</v>
      </c>
      <c r="AE43" s="376" t="s">
        <v>0</v>
      </c>
      <c r="AF43" s="377"/>
      <c r="AG43" s="147" t="s">
        <v>133</v>
      </c>
      <c r="AH43" s="147" t="s">
        <v>16</v>
      </c>
      <c r="AI43" s="147" t="s">
        <v>166</v>
      </c>
      <c r="AJ43" s="147" t="s">
        <v>189</v>
      </c>
      <c r="AK43" s="396" t="s">
        <v>0</v>
      </c>
      <c r="AL43" s="397"/>
      <c r="AM43" s="147" t="s">
        <v>133</v>
      </c>
      <c r="AN43" s="147" t="s">
        <v>16</v>
      </c>
      <c r="AO43" s="147" t="s">
        <v>166</v>
      </c>
      <c r="AP43" s="147" t="s">
        <v>189</v>
      </c>
      <c r="AQ43" s="405" t="s">
        <v>0</v>
      </c>
      <c r="AR43" s="406"/>
      <c r="AS43" s="147" t="s">
        <v>133</v>
      </c>
      <c r="AT43" s="147" t="s">
        <v>16</v>
      </c>
      <c r="AU43" s="147" t="s">
        <v>166</v>
      </c>
      <c r="AV43" s="147" t="s">
        <v>189</v>
      </c>
    </row>
    <row r="44" spans="1:48" s="83" customFormat="1" ht="18.75">
      <c r="A44" s="175" t="s">
        <v>105</v>
      </c>
      <c r="B44" s="176"/>
      <c r="C44" s="94"/>
      <c r="D44" s="174"/>
      <c r="E44" s="174"/>
      <c r="F44" s="174"/>
      <c r="G44" s="175" t="s">
        <v>105</v>
      </c>
      <c r="H44" s="176"/>
      <c r="I44" s="94"/>
      <c r="J44" s="174"/>
      <c r="K44" s="174"/>
      <c r="L44" s="174"/>
      <c r="M44" s="175" t="s">
        <v>105</v>
      </c>
      <c r="N44" s="176"/>
      <c r="O44" s="94"/>
      <c r="P44" s="174"/>
      <c r="Q44" s="174"/>
      <c r="R44" s="174"/>
      <c r="S44" s="175" t="s">
        <v>105</v>
      </c>
      <c r="T44" s="176"/>
      <c r="U44" s="94"/>
      <c r="V44" s="174"/>
      <c r="W44" s="174"/>
      <c r="X44" s="174"/>
      <c r="Y44" s="175" t="s">
        <v>105</v>
      </c>
      <c r="Z44" s="176"/>
      <c r="AA44" s="94"/>
      <c r="AB44" s="174"/>
      <c r="AC44" s="174"/>
      <c r="AD44" s="174"/>
      <c r="AE44" s="175" t="s">
        <v>105</v>
      </c>
      <c r="AF44" s="176"/>
      <c r="AG44" s="94"/>
      <c r="AH44" s="174"/>
      <c r="AI44" s="174"/>
      <c r="AJ44" s="174"/>
      <c r="AK44" s="175" t="s">
        <v>105</v>
      </c>
      <c r="AL44" s="176"/>
      <c r="AM44" s="94"/>
      <c r="AN44" s="174"/>
      <c r="AO44" s="174"/>
      <c r="AP44" s="174"/>
      <c r="AQ44" s="175" t="s">
        <v>105</v>
      </c>
      <c r="AR44" s="176"/>
      <c r="AS44" s="94"/>
      <c r="AT44" s="174"/>
      <c r="AU44" s="174"/>
      <c r="AV44" s="174"/>
    </row>
    <row r="45" spans="1:48" s="83" customFormat="1" ht="18.75">
      <c r="A45" s="175" t="s">
        <v>106</v>
      </c>
      <c r="B45" s="176"/>
      <c r="C45" s="94">
        <v>421000</v>
      </c>
      <c r="D45" s="174"/>
      <c r="E45" s="174"/>
      <c r="F45" s="174"/>
      <c r="G45" s="175" t="s">
        <v>106</v>
      </c>
      <c r="H45" s="176"/>
      <c r="I45" s="94">
        <v>421000</v>
      </c>
      <c r="J45" s="174"/>
      <c r="K45" s="174"/>
      <c r="L45" s="174"/>
      <c r="M45" s="175" t="s">
        <v>106</v>
      </c>
      <c r="N45" s="176"/>
      <c r="O45" s="94">
        <v>421000</v>
      </c>
      <c r="P45" s="174"/>
      <c r="Q45" s="174"/>
      <c r="R45" s="174"/>
      <c r="S45" s="175" t="s">
        <v>106</v>
      </c>
      <c r="T45" s="176"/>
      <c r="U45" s="94">
        <v>421000</v>
      </c>
      <c r="V45" s="174"/>
      <c r="W45" s="174"/>
      <c r="X45" s="174"/>
      <c r="Y45" s="175" t="s">
        <v>106</v>
      </c>
      <c r="Z45" s="176"/>
      <c r="AA45" s="94">
        <v>421000</v>
      </c>
      <c r="AB45" s="174"/>
      <c r="AC45" s="174"/>
      <c r="AD45" s="174"/>
      <c r="AE45" s="175" t="s">
        <v>106</v>
      </c>
      <c r="AF45" s="176"/>
      <c r="AG45" s="94">
        <v>421000</v>
      </c>
      <c r="AH45" s="174"/>
      <c r="AI45" s="174"/>
      <c r="AJ45" s="174"/>
      <c r="AK45" s="175" t="s">
        <v>106</v>
      </c>
      <c r="AL45" s="176"/>
      <c r="AM45" s="94">
        <v>421000</v>
      </c>
      <c r="AN45" s="174"/>
      <c r="AO45" s="174"/>
      <c r="AP45" s="174"/>
      <c r="AQ45" s="175" t="s">
        <v>106</v>
      </c>
      <c r="AR45" s="176"/>
      <c r="AS45" s="94">
        <v>421000</v>
      </c>
      <c r="AT45" s="174"/>
      <c r="AU45" s="174"/>
      <c r="AV45" s="174"/>
    </row>
    <row r="46" spans="1:48" ht="18.75">
      <c r="A46" s="88" t="s">
        <v>176</v>
      </c>
      <c r="B46" s="91"/>
      <c r="C46" s="95">
        <v>421002</v>
      </c>
      <c r="D46" s="90">
        <v>7100000</v>
      </c>
      <c r="E46" s="90">
        <v>815754.09</v>
      </c>
      <c r="F46" s="90">
        <f aca="true" t="shared" si="4" ref="F46:F54">SUM(E46)</f>
        <v>815754.09</v>
      </c>
      <c r="G46" s="88" t="s">
        <v>176</v>
      </c>
      <c r="H46" s="91"/>
      <c r="I46" s="95">
        <v>421002</v>
      </c>
      <c r="J46" s="90">
        <v>7100000</v>
      </c>
      <c r="K46" s="90">
        <f>SUM(งบดุลบัญชี!N85)</f>
        <v>651967.56</v>
      </c>
      <c r="L46" s="90">
        <f aca="true" t="shared" si="5" ref="L46:L54">SUM(+F46+K46)</f>
        <v>1467721.65</v>
      </c>
      <c r="M46" s="88" t="s">
        <v>176</v>
      </c>
      <c r="N46" s="91"/>
      <c r="O46" s="95">
        <v>421002</v>
      </c>
      <c r="P46" s="90">
        <v>7100000</v>
      </c>
      <c r="Q46" s="90">
        <f>SUM(งบดุลบัญชี!T85)</f>
        <v>0</v>
      </c>
      <c r="R46" s="90">
        <f aca="true" t="shared" si="6" ref="R46:R54">SUM(+L46+Q46)</f>
        <v>1467721.65</v>
      </c>
      <c r="S46" s="88" t="s">
        <v>176</v>
      </c>
      <c r="T46" s="91"/>
      <c r="U46" s="95">
        <v>421002</v>
      </c>
      <c r="V46" s="90">
        <v>7100000</v>
      </c>
      <c r="W46" s="90">
        <f>SUM(งบดุลบัญชี!Z85)</f>
        <v>661629.75</v>
      </c>
      <c r="X46" s="90">
        <f aca="true" t="shared" si="7" ref="X46:X54">SUM(+R46+W46)</f>
        <v>2129351.4</v>
      </c>
      <c r="Y46" s="88" t="s">
        <v>176</v>
      </c>
      <c r="Z46" s="91"/>
      <c r="AA46" s="95">
        <v>421002</v>
      </c>
      <c r="AB46" s="90">
        <v>7100000</v>
      </c>
      <c r="AC46" s="90">
        <f>SUM(งบดุลบัญชี!AF85)</f>
        <v>628023.47</v>
      </c>
      <c r="AD46" s="90">
        <f aca="true" t="shared" si="8" ref="AD46:AD54">SUM(+X46+AC46)</f>
        <v>2757374.87</v>
      </c>
      <c r="AE46" s="88" t="s">
        <v>176</v>
      </c>
      <c r="AF46" s="91"/>
      <c r="AG46" s="95">
        <v>421002</v>
      </c>
      <c r="AH46" s="90">
        <v>7100000</v>
      </c>
      <c r="AI46" s="90">
        <f>SUM(งบดุลบัญชี!AL85)</f>
        <v>605665.98</v>
      </c>
      <c r="AJ46" s="90">
        <f aca="true" t="shared" si="9" ref="AJ46:AJ54">SUM(+AD46+AI46)</f>
        <v>3363040.85</v>
      </c>
      <c r="AK46" s="88" t="s">
        <v>176</v>
      </c>
      <c r="AL46" s="91"/>
      <c r="AM46" s="95">
        <v>421002</v>
      </c>
      <c r="AN46" s="90">
        <v>7100000</v>
      </c>
      <c r="AO46" s="90">
        <f>SUM(งบดุลบัญชี!AR85)</f>
        <v>635702.19</v>
      </c>
      <c r="AP46" s="90">
        <f aca="true" t="shared" si="10" ref="AP46:AP54">SUM(+AJ46+AO46)</f>
        <v>3998743.04</v>
      </c>
      <c r="AQ46" s="88" t="s">
        <v>176</v>
      </c>
      <c r="AR46" s="91"/>
      <c r="AS46" s="95">
        <v>421002</v>
      </c>
      <c r="AT46" s="90">
        <v>7100000</v>
      </c>
      <c r="AU46" s="90">
        <v>1348012.03</v>
      </c>
      <c r="AV46" s="90">
        <f aca="true" t="shared" si="11" ref="AV46:AV54">SUM(+AP46+AU46)</f>
        <v>5346755.07</v>
      </c>
    </row>
    <row r="47" spans="1:48" ht="18.75">
      <c r="A47" s="88" t="s">
        <v>177</v>
      </c>
      <c r="B47" s="91"/>
      <c r="C47" s="95">
        <v>421004</v>
      </c>
      <c r="D47" s="90">
        <v>2700000</v>
      </c>
      <c r="E47" s="90">
        <v>286291.75</v>
      </c>
      <c r="F47" s="90">
        <f t="shared" si="4"/>
        <v>286291.75</v>
      </c>
      <c r="G47" s="88" t="s">
        <v>177</v>
      </c>
      <c r="H47" s="91"/>
      <c r="I47" s="95">
        <v>421004</v>
      </c>
      <c r="J47" s="90">
        <v>2700000</v>
      </c>
      <c r="K47" s="90">
        <v>282162.15</v>
      </c>
      <c r="L47" s="90">
        <f t="shared" si="5"/>
        <v>568453.9</v>
      </c>
      <c r="M47" s="88" t="s">
        <v>177</v>
      </c>
      <c r="N47" s="91"/>
      <c r="O47" s="95">
        <v>421004</v>
      </c>
      <c r="P47" s="90">
        <v>2700000</v>
      </c>
      <c r="Q47" s="90">
        <v>237606.86</v>
      </c>
      <c r="R47" s="90">
        <f t="shared" si="6"/>
        <v>806060.76</v>
      </c>
      <c r="S47" s="88" t="s">
        <v>177</v>
      </c>
      <c r="T47" s="91"/>
      <c r="U47" s="95">
        <v>421004</v>
      </c>
      <c r="V47" s="90">
        <v>2700000</v>
      </c>
      <c r="W47" s="90">
        <v>264540.09</v>
      </c>
      <c r="X47" s="90">
        <f t="shared" si="7"/>
        <v>1070600.85</v>
      </c>
      <c r="Y47" s="88" t="s">
        <v>177</v>
      </c>
      <c r="Z47" s="91"/>
      <c r="AA47" s="95">
        <v>421004</v>
      </c>
      <c r="AB47" s="90">
        <v>2700000</v>
      </c>
      <c r="AC47" s="90">
        <f>+งบดุลบัญชี!AF86</f>
        <v>320795.32</v>
      </c>
      <c r="AD47" s="90">
        <f t="shared" si="8"/>
        <v>1391396.1700000002</v>
      </c>
      <c r="AE47" s="88" t="s">
        <v>177</v>
      </c>
      <c r="AF47" s="91"/>
      <c r="AG47" s="95">
        <v>421004</v>
      </c>
      <c r="AH47" s="90">
        <v>2700000</v>
      </c>
      <c r="AI47" s="90">
        <f>+งบดุลบัญชี!AL86</f>
        <v>266578.98</v>
      </c>
      <c r="AJ47" s="90">
        <f t="shared" si="9"/>
        <v>1657975.1500000001</v>
      </c>
      <c r="AK47" s="88" t="s">
        <v>177</v>
      </c>
      <c r="AL47" s="91"/>
      <c r="AM47" s="95">
        <v>421004</v>
      </c>
      <c r="AN47" s="90">
        <v>2700000</v>
      </c>
      <c r="AO47" s="90">
        <f>+งบดุลบัญชี!AR86</f>
        <v>259822.27</v>
      </c>
      <c r="AP47" s="90">
        <f t="shared" si="10"/>
        <v>1917797.4200000002</v>
      </c>
      <c r="AQ47" s="88" t="s">
        <v>177</v>
      </c>
      <c r="AR47" s="91"/>
      <c r="AS47" s="95">
        <v>421004</v>
      </c>
      <c r="AT47" s="90">
        <v>2700000</v>
      </c>
      <c r="AU47" s="90">
        <v>292446.6</v>
      </c>
      <c r="AV47" s="90">
        <f t="shared" si="11"/>
        <v>2210244.02</v>
      </c>
    </row>
    <row r="48" spans="1:48" ht="18.75">
      <c r="A48" s="88" t="s">
        <v>178</v>
      </c>
      <c r="B48" s="91"/>
      <c r="C48" s="95">
        <v>421005</v>
      </c>
      <c r="D48" s="90">
        <v>100000</v>
      </c>
      <c r="E48" s="90">
        <v>34816.18</v>
      </c>
      <c r="F48" s="90">
        <f t="shared" si="4"/>
        <v>34816.18</v>
      </c>
      <c r="G48" s="88" t="s">
        <v>178</v>
      </c>
      <c r="H48" s="91"/>
      <c r="I48" s="95">
        <v>421005</v>
      </c>
      <c r="J48" s="90">
        <v>100000</v>
      </c>
      <c r="K48" s="90">
        <v>0</v>
      </c>
      <c r="L48" s="90">
        <f t="shared" si="5"/>
        <v>34816.18</v>
      </c>
      <c r="M48" s="88" t="s">
        <v>178</v>
      </c>
      <c r="N48" s="91"/>
      <c r="O48" s="95">
        <v>421005</v>
      </c>
      <c r="P48" s="90">
        <v>100000</v>
      </c>
      <c r="Q48" s="90">
        <v>0</v>
      </c>
      <c r="R48" s="90">
        <f t="shared" si="6"/>
        <v>34816.18</v>
      </c>
      <c r="S48" s="88" t="s">
        <v>178</v>
      </c>
      <c r="T48" s="91"/>
      <c r="U48" s="95">
        <v>421005</v>
      </c>
      <c r="V48" s="90">
        <v>100000</v>
      </c>
      <c r="W48" s="90">
        <v>39144</v>
      </c>
      <c r="X48" s="90">
        <f t="shared" si="7"/>
        <v>73960.18</v>
      </c>
      <c r="Y48" s="88" t="s">
        <v>178</v>
      </c>
      <c r="Z48" s="91"/>
      <c r="AA48" s="95">
        <v>421005</v>
      </c>
      <c r="AB48" s="90">
        <v>100000</v>
      </c>
      <c r="AC48" s="90">
        <f>+งบดุลบัญชี!AF87</f>
        <v>0</v>
      </c>
      <c r="AD48" s="90">
        <f t="shared" si="8"/>
        <v>73960.18</v>
      </c>
      <c r="AE48" s="88" t="s">
        <v>178</v>
      </c>
      <c r="AF48" s="91"/>
      <c r="AG48" s="95">
        <v>421005</v>
      </c>
      <c r="AH48" s="90">
        <v>100000</v>
      </c>
      <c r="AI48" s="90">
        <f>+งบดุลบัญชี!AL87</f>
        <v>0</v>
      </c>
      <c r="AJ48" s="90">
        <f t="shared" si="9"/>
        <v>73960.18</v>
      </c>
      <c r="AK48" s="88" t="s">
        <v>178</v>
      </c>
      <c r="AL48" s="91"/>
      <c r="AM48" s="95">
        <v>421005</v>
      </c>
      <c r="AN48" s="90">
        <v>100000</v>
      </c>
      <c r="AO48" s="90">
        <f>+งบดุลบัญชี!AR87</f>
        <v>33190.85</v>
      </c>
      <c r="AP48" s="90">
        <f t="shared" si="10"/>
        <v>107151.03</v>
      </c>
      <c r="AQ48" s="88" t="s">
        <v>178</v>
      </c>
      <c r="AR48" s="91"/>
      <c r="AS48" s="95">
        <v>421005</v>
      </c>
      <c r="AT48" s="90">
        <v>100000</v>
      </c>
      <c r="AU48" s="90">
        <f>+งบดุลบัญชี!AX87</f>
        <v>0</v>
      </c>
      <c r="AV48" s="90">
        <f t="shared" si="11"/>
        <v>107151.03</v>
      </c>
    </row>
    <row r="49" spans="1:48" ht="18.75">
      <c r="A49" s="88" t="s">
        <v>179</v>
      </c>
      <c r="B49" s="91"/>
      <c r="C49" s="95">
        <v>421006</v>
      </c>
      <c r="D49" s="90">
        <v>1200000</v>
      </c>
      <c r="E49" s="90">
        <v>115578.28</v>
      </c>
      <c r="F49" s="90">
        <f t="shared" si="4"/>
        <v>115578.28</v>
      </c>
      <c r="G49" s="88" t="s">
        <v>179</v>
      </c>
      <c r="H49" s="91"/>
      <c r="I49" s="95">
        <v>421006</v>
      </c>
      <c r="J49" s="90">
        <v>1200000</v>
      </c>
      <c r="K49" s="90">
        <v>242305.67</v>
      </c>
      <c r="L49" s="90">
        <f t="shared" si="5"/>
        <v>357883.95</v>
      </c>
      <c r="M49" s="88" t="s">
        <v>179</v>
      </c>
      <c r="N49" s="91"/>
      <c r="O49" s="95">
        <v>421006</v>
      </c>
      <c r="P49" s="90">
        <v>1200000</v>
      </c>
      <c r="Q49" s="90">
        <v>115497.42</v>
      </c>
      <c r="R49" s="90">
        <f t="shared" si="6"/>
        <v>473381.37</v>
      </c>
      <c r="S49" s="88" t="s">
        <v>179</v>
      </c>
      <c r="T49" s="91"/>
      <c r="U49" s="95">
        <v>421006</v>
      </c>
      <c r="V49" s="90">
        <v>1200000</v>
      </c>
      <c r="W49" s="90">
        <v>167074.49</v>
      </c>
      <c r="X49" s="90">
        <f t="shared" si="7"/>
        <v>640455.86</v>
      </c>
      <c r="Y49" s="88" t="s">
        <v>179</v>
      </c>
      <c r="Z49" s="91"/>
      <c r="AA49" s="95">
        <v>421006</v>
      </c>
      <c r="AB49" s="90">
        <v>1200000</v>
      </c>
      <c r="AC49" s="90">
        <f>+งบดุลบัญชี!AF88</f>
        <v>130963.28</v>
      </c>
      <c r="AD49" s="90">
        <f t="shared" si="8"/>
        <v>771419.14</v>
      </c>
      <c r="AE49" s="88" t="s">
        <v>179</v>
      </c>
      <c r="AF49" s="91"/>
      <c r="AG49" s="95">
        <v>421006</v>
      </c>
      <c r="AH49" s="90">
        <v>1200000</v>
      </c>
      <c r="AI49" s="90">
        <f>+งบดุลบัญชี!AL88</f>
        <v>155808.45</v>
      </c>
      <c r="AJ49" s="90">
        <f t="shared" si="9"/>
        <v>927227.5900000001</v>
      </c>
      <c r="AK49" s="88" t="s">
        <v>179</v>
      </c>
      <c r="AL49" s="91"/>
      <c r="AM49" s="95">
        <v>421006</v>
      </c>
      <c r="AN49" s="90">
        <v>1200000</v>
      </c>
      <c r="AO49" s="90">
        <f>+งบดุลบัญชี!AR88</f>
        <v>193848.07</v>
      </c>
      <c r="AP49" s="90">
        <f t="shared" si="10"/>
        <v>1121075.6600000001</v>
      </c>
      <c r="AQ49" s="88" t="s">
        <v>179</v>
      </c>
      <c r="AR49" s="91"/>
      <c r="AS49" s="95">
        <v>421006</v>
      </c>
      <c r="AT49" s="90">
        <v>1200000</v>
      </c>
      <c r="AU49" s="90">
        <v>138146.51</v>
      </c>
      <c r="AV49" s="90">
        <f t="shared" si="11"/>
        <v>1259222.1700000002</v>
      </c>
    </row>
    <row r="50" spans="1:48" ht="18.75">
      <c r="A50" s="88" t="s">
        <v>180</v>
      </c>
      <c r="B50" s="91"/>
      <c r="C50" s="95">
        <v>421007</v>
      </c>
      <c r="D50" s="90">
        <v>2350000</v>
      </c>
      <c r="E50" s="90">
        <v>171255.01</v>
      </c>
      <c r="F50" s="90">
        <f t="shared" si="4"/>
        <v>171255.01</v>
      </c>
      <c r="G50" s="88" t="s">
        <v>180</v>
      </c>
      <c r="H50" s="91"/>
      <c r="I50" s="95">
        <v>421007</v>
      </c>
      <c r="J50" s="90">
        <v>2350000</v>
      </c>
      <c r="K50" s="90">
        <v>375472.13</v>
      </c>
      <c r="L50" s="90">
        <f t="shared" si="5"/>
        <v>546727.14</v>
      </c>
      <c r="M50" s="88" t="s">
        <v>180</v>
      </c>
      <c r="N50" s="91"/>
      <c r="O50" s="95">
        <v>421007</v>
      </c>
      <c r="P50" s="90">
        <v>2350000</v>
      </c>
      <c r="Q50" s="90">
        <v>138006.06</v>
      </c>
      <c r="R50" s="90">
        <f t="shared" si="6"/>
        <v>684733.2</v>
      </c>
      <c r="S50" s="88" t="s">
        <v>180</v>
      </c>
      <c r="T50" s="91"/>
      <c r="U50" s="95">
        <v>421007</v>
      </c>
      <c r="V50" s="90">
        <v>2350000</v>
      </c>
      <c r="W50" s="90">
        <v>216231.82</v>
      </c>
      <c r="X50" s="90">
        <f t="shared" si="7"/>
        <v>900965.02</v>
      </c>
      <c r="Y50" s="88" t="s">
        <v>180</v>
      </c>
      <c r="Z50" s="91"/>
      <c r="AA50" s="95">
        <v>421007</v>
      </c>
      <c r="AB50" s="90">
        <v>2350000</v>
      </c>
      <c r="AC50" s="90">
        <f>+งบดุลบัญชี!AF89</f>
        <v>265914.68</v>
      </c>
      <c r="AD50" s="90">
        <f t="shared" si="8"/>
        <v>1166879.7</v>
      </c>
      <c r="AE50" s="88" t="s">
        <v>180</v>
      </c>
      <c r="AF50" s="91"/>
      <c r="AG50" s="95">
        <v>421007</v>
      </c>
      <c r="AH50" s="90">
        <v>2350000</v>
      </c>
      <c r="AI50" s="90">
        <f>+งบดุลบัญชี!AL89</f>
        <v>217774.21</v>
      </c>
      <c r="AJ50" s="90">
        <f t="shared" si="9"/>
        <v>1384653.91</v>
      </c>
      <c r="AK50" s="88" t="s">
        <v>180</v>
      </c>
      <c r="AL50" s="91"/>
      <c r="AM50" s="95">
        <v>421007</v>
      </c>
      <c r="AN50" s="90">
        <v>2350000</v>
      </c>
      <c r="AO50" s="90">
        <f>+งบดุลบัญชี!AR89</f>
        <v>267838.17</v>
      </c>
      <c r="AP50" s="90">
        <f t="shared" si="10"/>
        <v>1652492.0799999998</v>
      </c>
      <c r="AQ50" s="88" t="s">
        <v>180</v>
      </c>
      <c r="AR50" s="91"/>
      <c r="AS50" s="95">
        <v>421007</v>
      </c>
      <c r="AT50" s="90">
        <v>2350000</v>
      </c>
      <c r="AU50" s="90">
        <v>289940.48</v>
      </c>
      <c r="AV50" s="90">
        <f t="shared" si="11"/>
        <v>1942432.5599999998</v>
      </c>
    </row>
    <row r="51" spans="1:48" ht="18.75">
      <c r="A51" s="88" t="s">
        <v>181</v>
      </c>
      <c r="B51" s="91"/>
      <c r="C51" s="95">
        <v>421012</v>
      </c>
      <c r="D51" s="90">
        <v>50000</v>
      </c>
      <c r="E51" s="90">
        <v>0</v>
      </c>
      <c r="F51" s="90">
        <f t="shared" si="4"/>
        <v>0</v>
      </c>
      <c r="G51" s="88" t="s">
        <v>181</v>
      </c>
      <c r="H51" s="91"/>
      <c r="I51" s="95">
        <v>421012</v>
      </c>
      <c r="J51" s="90">
        <v>50000</v>
      </c>
      <c r="K51" s="90">
        <v>0</v>
      </c>
      <c r="L51" s="90">
        <f t="shared" si="5"/>
        <v>0</v>
      </c>
      <c r="M51" s="88" t="s">
        <v>181</v>
      </c>
      <c r="N51" s="91"/>
      <c r="O51" s="95">
        <v>421012</v>
      </c>
      <c r="P51" s="90">
        <v>50000</v>
      </c>
      <c r="Q51" s="90">
        <v>0</v>
      </c>
      <c r="R51" s="90">
        <f t="shared" si="6"/>
        <v>0</v>
      </c>
      <c r="S51" s="88" t="s">
        <v>181</v>
      </c>
      <c r="T51" s="91"/>
      <c r="U51" s="95">
        <v>421012</v>
      </c>
      <c r="V51" s="90">
        <v>50000</v>
      </c>
      <c r="W51" s="90">
        <v>75565.58</v>
      </c>
      <c r="X51" s="90">
        <f t="shared" si="7"/>
        <v>75565.58</v>
      </c>
      <c r="Y51" s="88" t="s">
        <v>181</v>
      </c>
      <c r="Z51" s="91"/>
      <c r="AA51" s="95">
        <v>421012</v>
      </c>
      <c r="AB51" s="90">
        <v>50000</v>
      </c>
      <c r="AC51" s="90">
        <f>+งบดุลบัญชี!AF90</f>
        <v>0</v>
      </c>
      <c r="AD51" s="90">
        <f t="shared" si="8"/>
        <v>75565.58</v>
      </c>
      <c r="AE51" s="88" t="s">
        <v>181</v>
      </c>
      <c r="AF51" s="91"/>
      <c r="AG51" s="95">
        <v>421012</v>
      </c>
      <c r="AH51" s="90">
        <v>50000</v>
      </c>
      <c r="AI51" s="90">
        <f>+งบดุลบัญชี!AL90</f>
        <v>0</v>
      </c>
      <c r="AJ51" s="90">
        <f t="shared" si="9"/>
        <v>75565.58</v>
      </c>
      <c r="AK51" s="88" t="s">
        <v>181</v>
      </c>
      <c r="AL51" s="91"/>
      <c r="AM51" s="95">
        <v>421012</v>
      </c>
      <c r="AN51" s="90">
        <v>50000</v>
      </c>
      <c r="AO51" s="90">
        <f>+งบดุลบัญชี!AR90</f>
        <v>0</v>
      </c>
      <c r="AP51" s="90">
        <f t="shared" si="10"/>
        <v>75565.58</v>
      </c>
      <c r="AQ51" s="88" t="s">
        <v>181</v>
      </c>
      <c r="AR51" s="91"/>
      <c r="AS51" s="95">
        <v>421012</v>
      </c>
      <c r="AT51" s="90">
        <v>50000</v>
      </c>
      <c r="AU51" s="90">
        <v>27267.61</v>
      </c>
      <c r="AV51" s="90">
        <f t="shared" si="11"/>
        <v>102833.19</v>
      </c>
    </row>
    <row r="52" spans="1:48" ht="18.75">
      <c r="A52" s="88" t="s">
        <v>182</v>
      </c>
      <c r="B52" s="91"/>
      <c r="C52" s="95">
        <v>421013</v>
      </c>
      <c r="D52" s="90">
        <v>160000</v>
      </c>
      <c r="E52" s="90">
        <v>27473.12</v>
      </c>
      <c r="F52" s="90">
        <f t="shared" si="4"/>
        <v>27473.12</v>
      </c>
      <c r="G52" s="88" t="s">
        <v>182</v>
      </c>
      <c r="H52" s="91"/>
      <c r="I52" s="95">
        <v>421013</v>
      </c>
      <c r="J52" s="90">
        <v>160000</v>
      </c>
      <c r="K52" s="90">
        <v>0</v>
      </c>
      <c r="L52" s="90">
        <f t="shared" si="5"/>
        <v>27473.12</v>
      </c>
      <c r="M52" s="88" t="s">
        <v>182</v>
      </c>
      <c r="N52" s="91"/>
      <c r="O52" s="95">
        <v>421013</v>
      </c>
      <c r="P52" s="90">
        <v>160000</v>
      </c>
      <c r="Q52" s="90">
        <v>0</v>
      </c>
      <c r="R52" s="90">
        <f t="shared" si="6"/>
        <v>27473.12</v>
      </c>
      <c r="S52" s="88" t="s">
        <v>182</v>
      </c>
      <c r="T52" s="91"/>
      <c r="U52" s="95">
        <v>421013</v>
      </c>
      <c r="V52" s="90">
        <v>160000</v>
      </c>
      <c r="W52" s="90">
        <v>23392.67</v>
      </c>
      <c r="X52" s="90">
        <f t="shared" si="7"/>
        <v>50865.78999999999</v>
      </c>
      <c r="Y52" s="88" t="s">
        <v>182</v>
      </c>
      <c r="Z52" s="91"/>
      <c r="AA52" s="95">
        <v>421013</v>
      </c>
      <c r="AB52" s="90">
        <v>160000</v>
      </c>
      <c r="AC52" s="90">
        <v>0</v>
      </c>
      <c r="AD52" s="90">
        <f t="shared" si="8"/>
        <v>50865.78999999999</v>
      </c>
      <c r="AE52" s="88" t="s">
        <v>182</v>
      </c>
      <c r="AF52" s="91"/>
      <c r="AG52" s="95">
        <v>421013</v>
      </c>
      <c r="AH52" s="90">
        <v>160000</v>
      </c>
      <c r="AI52" s="90">
        <v>0</v>
      </c>
      <c r="AJ52" s="90">
        <f t="shared" si="9"/>
        <v>50865.78999999999</v>
      </c>
      <c r="AK52" s="88" t="s">
        <v>182</v>
      </c>
      <c r="AL52" s="91"/>
      <c r="AM52" s="95">
        <v>421013</v>
      </c>
      <c r="AN52" s="90">
        <v>160000</v>
      </c>
      <c r="AO52" s="90">
        <f>+งบดุลบัญชี!AR91</f>
        <v>19355.62</v>
      </c>
      <c r="AP52" s="90">
        <f t="shared" si="10"/>
        <v>70221.40999999999</v>
      </c>
      <c r="AQ52" s="88" t="s">
        <v>182</v>
      </c>
      <c r="AR52" s="91"/>
      <c r="AS52" s="95">
        <v>421013</v>
      </c>
      <c r="AT52" s="90">
        <v>160000</v>
      </c>
      <c r="AU52" s="90">
        <f>+งบดุลบัญชี!AX91</f>
        <v>0</v>
      </c>
      <c r="AV52" s="90">
        <f t="shared" si="11"/>
        <v>70221.40999999999</v>
      </c>
    </row>
    <row r="53" spans="1:48" ht="18.75">
      <c r="A53" s="88" t="s">
        <v>183</v>
      </c>
      <c r="B53" s="91"/>
      <c r="C53" s="95">
        <v>421014</v>
      </c>
      <c r="D53" s="90">
        <v>1000</v>
      </c>
      <c r="E53" s="90">
        <v>0</v>
      </c>
      <c r="F53" s="90">
        <f t="shared" si="4"/>
        <v>0</v>
      </c>
      <c r="G53" s="88" t="s">
        <v>183</v>
      </c>
      <c r="H53" s="91"/>
      <c r="I53" s="95">
        <v>421014</v>
      </c>
      <c r="J53" s="90">
        <v>1000</v>
      </c>
      <c r="K53" s="90">
        <v>0</v>
      </c>
      <c r="L53" s="90">
        <f t="shared" si="5"/>
        <v>0</v>
      </c>
      <c r="M53" s="88" t="s">
        <v>183</v>
      </c>
      <c r="N53" s="91"/>
      <c r="O53" s="95">
        <v>421014</v>
      </c>
      <c r="P53" s="90">
        <v>1000</v>
      </c>
      <c r="Q53" s="90">
        <v>0</v>
      </c>
      <c r="R53" s="90">
        <f t="shared" si="6"/>
        <v>0</v>
      </c>
      <c r="S53" s="88" t="s">
        <v>183</v>
      </c>
      <c r="T53" s="91"/>
      <c r="U53" s="95">
        <v>421014</v>
      </c>
      <c r="V53" s="90">
        <v>1000</v>
      </c>
      <c r="W53" s="90">
        <v>0</v>
      </c>
      <c r="X53" s="90">
        <f t="shared" si="7"/>
        <v>0</v>
      </c>
      <c r="Y53" s="88" t="s">
        <v>183</v>
      </c>
      <c r="Z53" s="91"/>
      <c r="AA53" s="95">
        <v>421014</v>
      </c>
      <c r="AB53" s="90">
        <v>1000</v>
      </c>
      <c r="AC53" s="90">
        <v>0</v>
      </c>
      <c r="AD53" s="90">
        <f t="shared" si="8"/>
        <v>0</v>
      </c>
      <c r="AE53" s="88" t="s">
        <v>183</v>
      </c>
      <c r="AF53" s="91"/>
      <c r="AG53" s="95">
        <v>421014</v>
      </c>
      <c r="AH53" s="90">
        <v>1000</v>
      </c>
      <c r="AI53" s="90">
        <v>0</v>
      </c>
      <c r="AJ53" s="90">
        <f t="shared" si="9"/>
        <v>0</v>
      </c>
      <c r="AK53" s="88" t="s">
        <v>183</v>
      </c>
      <c r="AL53" s="91"/>
      <c r="AM53" s="95">
        <v>421014</v>
      </c>
      <c r="AN53" s="90">
        <v>1000</v>
      </c>
      <c r="AO53" s="90">
        <v>0</v>
      </c>
      <c r="AP53" s="90">
        <f t="shared" si="10"/>
        <v>0</v>
      </c>
      <c r="AQ53" s="88" t="s">
        <v>183</v>
      </c>
      <c r="AR53" s="91"/>
      <c r="AS53" s="95">
        <v>421014</v>
      </c>
      <c r="AT53" s="90">
        <v>1000</v>
      </c>
      <c r="AU53" s="90">
        <v>0</v>
      </c>
      <c r="AV53" s="90">
        <f t="shared" si="11"/>
        <v>0</v>
      </c>
    </row>
    <row r="54" spans="1:48" ht="18.75">
      <c r="A54" s="88" t="s">
        <v>184</v>
      </c>
      <c r="B54" s="91"/>
      <c r="C54" s="95">
        <v>421015</v>
      </c>
      <c r="D54" s="90">
        <v>480000</v>
      </c>
      <c r="E54" s="90">
        <v>17974</v>
      </c>
      <c r="F54" s="90">
        <f t="shared" si="4"/>
        <v>17974</v>
      </c>
      <c r="G54" s="88" t="s">
        <v>184</v>
      </c>
      <c r="H54" s="91"/>
      <c r="I54" s="95">
        <v>421015</v>
      </c>
      <c r="J54" s="90">
        <v>480000</v>
      </c>
      <c r="K54" s="90">
        <v>51103</v>
      </c>
      <c r="L54" s="90">
        <f t="shared" si="5"/>
        <v>69077</v>
      </c>
      <c r="M54" s="88" t="s">
        <v>184</v>
      </c>
      <c r="N54" s="91"/>
      <c r="O54" s="95">
        <v>421015</v>
      </c>
      <c r="P54" s="90">
        <v>480000</v>
      </c>
      <c r="Q54" s="90">
        <v>104374</v>
      </c>
      <c r="R54" s="90">
        <f t="shared" si="6"/>
        <v>173451</v>
      </c>
      <c r="S54" s="88" t="s">
        <v>184</v>
      </c>
      <c r="T54" s="91"/>
      <c r="U54" s="95">
        <v>421015</v>
      </c>
      <c r="V54" s="90">
        <v>480000</v>
      </c>
      <c r="W54" s="90">
        <v>47589</v>
      </c>
      <c r="X54" s="90">
        <f t="shared" si="7"/>
        <v>221040</v>
      </c>
      <c r="Y54" s="88" t="s">
        <v>184</v>
      </c>
      <c r="Z54" s="91"/>
      <c r="AA54" s="95">
        <v>421015</v>
      </c>
      <c r="AB54" s="90">
        <v>480000</v>
      </c>
      <c r="AC54" s="90">
        <f>+งบดุลบัญชี!AF93</f>
        <v>65426</v>
      </c>
      <c r="AD54" s="90">
        <f t="shared" si="8"/>
        <v>286466</v>
      </c>
      <c r="AE54" s="88" t="s">
        <v>184</v>
      </c>
      <c r="AF54" s="91"/>
      <c r="AG54" s="95">
        <v>421015</v>
      </c>
      <c r="AH54" s="90">
        <v>480000</v>
      </c>
      <c r="AI54" s="90">
        <f>+งบดุลบัญชี!AL93</f>
        <v>13551</v>
      </c>
      <c r="AJ54" s="90">
        <f t="shared" si="9"/>
        <v>300017</v>
      </c>
      <c r="AK54" s="88" t="s">
        <v>184</v>
      </c>
      <c r="AL54" s="91"/>
      <c r="AM54" s="95">
        <v>421015</v>
      </c>
      <c r="AN54" s="90">
        <v>480000</v>
      </c>
      <c r="AO54" s="90">
        <f>+งบดุลบัญชี!AR93</f>
        <v>21496</v>
      </c>
      <c r="AP54" s="90">
        <f t="shared" si="10"/>
        <v>321513</v>
      </c>
      <c r="AQ54" s="88" t="s">
        <v>184</v>
      </c>
      <c r="AR54" s="91"/>
      <c r="AS54" s="95">
        <v>421015</v>
      </c>
      <c r="AT54" s="90">
        <v>480000</v>
      </c>
      <c r="AU54" s="90">
        <f>+งบดุลบัญชี!AX93</f>
        <v>17563</v>
      </c>
      <c r="AV54" s="90">
        <f t="shared" si="11"/>
        <v>339076</v>
      </c>
    </row>
    <row r="55" spans="1:48" s="83" customFormat="1" ht="18.75">
      <c r="A55" s="93" t="s">
        <v>17</v>
      </c>
      <c r="B55" s="152"/>
      <c r="C55" s="94"/>
      <c r="D55" s="25">
        <f>SUM(D46:D54)</f>
        <v>14141000</v>
      </c>
      <c r="E55" s="25">
        <f>SUM(E46:E54)</f>
        <v>1469142.43</v>
      </c>
      <c r="F55" s="25">
        <f>SUM(F46:F54)</f>
        <v>1469142.43</v>
      </c>
      <c r="G55" s="93" t="s">
        <v>17</v>
      </c>
      <c r="H55" s="198"/>
      <c r="I55" s="94"/>
      <c r="J55" s="25">
        <f>SUM(J46:J54)</f>
        <v>14141000</v>
      </c>
      <c r="K55" s="25">
        <f>SUM(K46:K54)</f>
        <v>1603010.5100000002</v>
      </c>
      <c r="L55" s="25">
        <f>SUM(L46:L54)</f>
        <v>3072152.94</v>
      </c>
      <c r="M55" s="93" t="s">
        <v>17</v>
      </c>
      <c r="N55" s="330"/>
      <c r="O55" s="94"/>
      <c r="P55" s="25">
        <f>SUM(P46:P54)</f>
        <v>14141000</v>
      </c>
      <c r="Q55" s="25">
        <f>SUM(Q46:Q54)</f>
        <v>595484.34</v>
      </c>
      <c r="R55" s="25">
        <f>SUM(R46:R54)</f>
        <v>3667637.2800000003</v>
      </c>
      <c r="S55" s="93" t="s">
        <v>17</v>
      </c>
      <c r="T55" s="344"/>
      <c r="U55" s="94"/>
      <c r="V55" s="25">
        <f>SUM(V46:V54)</f>
        <v>14141000</v>
      </c>
      <c r="W55" s="25">
        <f>SUM(W46:W54)</f>
        <v>1495167.4000000001</v>
      </c>
      <c r="X55" s="25">
        <f>SUM(X46:X54)</f>
        <v>5162804.680000001</v>
      </c>
      <c r="Y55" s="93" t="s">
        <v>17</v>
      </c>
      <c r="Z55" s="361"/>
      <c r="AA55" s="94"/>
      <c r="AB55" s="25">
        <f>SUM(AB46:AB54)</f>
        <v>14141000</v>
      </c>
      <c r="AC55" s="25">
        <f>SUM(AC46:AC54)</f>
        <v>1411122.75</v>
      </c>
      <c r="AD55" s="25">
        <f>SUM(AD46:AD54)</f>
        <v>6573927.43</v>
      </c>
      <c r="AE55" s="93" t="s">
        <v>17</v>
      </c>
      <c r="AF55" s="378"/>
      <c r="AG55" s="94"/>
      <c r="AH55" s="25">
        <f>SUM(AH46:AH54)</f>
        <v>14141000</v>
      </c>
      <c r="AI55" s="25">
        <f>SUM(AI46:AI54)</f>
        <v>1259378.6199999999</v>
      </c>
      <c r="AJ55" s="25">
        <f>SUM(AJ46:AJ54)</f>
        <v>7833306.05</v>
      </c>
      <c r="AK55" s="93" t="s">
        <v>17</v>
      </c>
      <c r="AL55" s="399"/>
      <c r="AM55" s="94"/>
      <c r="AN55" s="25">
        <f>SUM(AN46:AN54)</f>
        <v>14141000</v>
      </c>
      <c r="AO55" s="25">
        <f>SUM(AO46:AO54)</f>
        <v>1431253.17</v>
      </c>
      <c r="AP55" s="25">
        <f>SUM(AP46:AP54)</f>
        <v>9264559.22</v>
      </c>
      <c r="AQ55" s="93" t="s">
        <v>17</v>
      </c>
      <c r="AR55" s="407"/>
      <c r="AS55" s="94"/>
      <c r="AT55" s="25">
        <f>SUM(AT46:AT54)</f>
        <v>14141000</v>
      </c>
      <c r="AU55" s="25">
        <f>SUM(AU46:AU54)</f>
        <v>2113376.23</v>
      </c>
      <c r="AV55" s="25">
        <f>SUM(AV46:AV54)</f>
        <v>11377935.450000001</v>
      </c>
    </row>
    <row r="56" spans="1:48" s="83" customFormat="1" ht="18.75">
      <c r="A56" s="175" t="s">
        <v>107</v>
      </c>
      <c r="B56" s="176"/>
      <c r="C56" s="94"/>
      <c r="D56" s="174"/>
      <c r="E56" s="174"/>
      <c r="F56" s="174"/>
      <c r="G56" s="175" t="s">
        <v>107</v>
      </c>
      <c r="H56" s="176"/>
      <c r="I56" s="94"/>
      <c r="J56" s="174"/>
      <c r="K56" s="174"/>
      <c r="L56" s="174"/>
      <c r="M56" s="175" t="s">
        <v>107</v>
      </c>
      <c r="N56" s="176"/>
      <c r="O56" s="94"/>
      <c r="P56" s="174"/>
      <c r="Q56" s="174"/>
      <c r="R56" s="174"/>
      <c r="S56" s="175" t="s">
        <v>107</v>
      </c>
      <c r="T56" s="176"/>
      <c r="U56" s="94"/>
      <c r="V56" s="174"/>
      <c r="W56" s="174"/>
      <c r="X56" s="174"/>
      <c r="Y56" s="175" t="s">
        <v>107</v>
      </c>
      <c r="Z56" s="176"/>
      <c r="AA56" s="94"/>
      <c r="AB56" s="174"/>
      <c r="AC56" s="174"/>
      <c r="AD56" s="174"/>
      <c r="AE56" s="175" t="s">
        <v>107</v>
      </c>
      <c r="AF56" s="176"/>
      <c r="AG56" s="94"/>
      <c r="AH56" s="174"/>
      <c r="AI56" s="174"/>
      <c r="AJ56" s="174"/>
      <c r="AK56" s="175" t="s">
        <v>107</v>
      </c>
      <c r="AL56" s="176"/>
      <c r="AM56" s="94"/>
      <c r="AN56" s="174"/>
      <c r="AO56" s="174"/>
      <c r="AP56" s="174"/>
      <c r="AQ56" s="175" t="s">
        <v>107</v>
      </c>
      <c r="AR56" s="176"/>
      <c r="AS56" s="94"/>
      <c r="AT56" s="174"/>
      <c r="AU56" s="174"/>
      <c r="AV56" s="174"/>
    </row>
    <row r="57" spans="1:48" s="83" customFormat="1" ht="18.75">
      <c r="A57" s="175" t="s">
        <v>108</v>
      </c>
      <c r="B57" s="176"/>
      <c r="C57" s="94">
        <v>431000</v>
      </c>
      <c r="D57" s="174"/>
      <c r="E57" s="174"/>
      <c r="F57" s="174"/>
      <c r="G57" s="175" t="s">
        <v>108</v>
      </c>
      <c r="H57" s="176"/>
      <c r="I57" s="94">
        <v>431000</v>
      </c>
      <c r="J57" s="174"/>
      <c r="K57" s="174"/>
      <c r="L57" s="174"/>
      <c r="M57" s="175" t="s">
        <v>108</v>
      </c>
      <c r="N57" s="176"/>
      <c r="O57" s="94">
        <v>431000</v>
      </c>
      <c r="P57" s="174"/>
      <c r="Q57" s="174"/>
      <c r="R57" s="174"/>
      <c r="S57" s="175" t="s">
        <v>108</v>
      </c>
      <c r="T57" s="176"/>
      <c r="U57" s="94">
        <v>431000</v>
      </c>
      <c r="V57" s="174"/>
      <c r="W57" s="174"/>
      <c r="X57" s="174"/>
      <c r="Y57" s="175" t="s">
        <v>108</v>
      </c>
      <c r="Z57" s="176"/>
      <c r="AA57" s="94">
        <v>431000</v>
      </c>
      <c r="AB57" s="174"/>
      <c r="AC57" s="174"/>
      <c r="AD57" s="174"/>
      <c r="AE57" s="175" t="s">
        <v>108</v>
      </c>
      <c r="AF57" s="176"/>
      <c r="AG57" s="94">
        <v>431000</v>
      </c>
      <c r="AH57" s="174"/>
      <c r="AI57" s="174"/>
      <c r="AJ57" s="174"/>
      <c r="AK57" s="175" t="s">
        <v>108</v>
      </c>
      <c r="AL57" s="176"/>
      <c r="AM57" s="94">
        <v>431000</v>
      </c>
      <c r="AN57" s="174"/>
      <c r="AO57" s="174"/>
      <c r="AP57" s="174"/>
      <c r="AQ57" s="175" t="s">
        <v>108</v>
      </c>
      <c r="AR57" s="176"/>
      <c r="AS57" s="94">
        <v>431000</v>
      </c>
      <c r="AT57" s="174"/>
      <c r="AU57" s="174"/>
      <c r="AV57" s="174"/>
    </row>
    <row r="58" spans="1:48" ht="18.75">
      <c r="A58" s="88" t="s">
        <v>359</v>
      </c>
      <c r="B58" s="91"/>
      <c r="C58" s="95">
        <v>431002</v>
      </c>
      <c r="D58" s="90">
        <v>17860000</v>
      </c>
      <c r="E58" s="90">
        <v>0</v>
      </c>
      <c r="F58" s="90">
        <f>SUM(E58)</f>
        <v>0</v>
      </c>
      <c r="G58" s="88" t="s">
        <v>359</v>
      </c>
      <c r="H58" s="91"/>
      <c r="I58" s="95">
        <v>431002</v>
      </c>
      <c r="J58" s="90">
        <v>17860000</v>
      </c>
      <c r="K58" s="90">
        <f>SUM(งบดุลบัญชี!N96)</f>
        <v>1739770</v>
      </c>
      <c r="L58" s="90">
        <f>SUM(+F58+K58)</f>
        <v>1739770</v>
      </c>
      <c r="M58" s="88" t="s">
        <v>359</v>
      </c>
      <c r="N58" s="91"/>
      <c r="O58" s="95">
        <v>431002</v>
      </c>
      <c r="P58" s="90">
        <v>17860000</v>
      </c>
      <c r="Q58" s="90">
        <f>SUM(งบดุลบัญชี!T96)</f>
        <v>6841614</v>
      </c>
      <c r="R58" s="90">
        <f>SUM(+L58+Q58)</f>
        <v>8581384</v>
      </c>
      <c r="S58" s="88" t="s">
        <v>359</v>
      </c>
      <c r="T58" s="91"/>
      <c r="U58" s="95">
        <v>431002</v>
      </c>
      <c r="V58" s="90">
        <v>17860000</v>
      </c>
      <c r="W58" s="90">
        <v>1862520</v>
      </c>
      <c r="X58" s="90">
        <f>SUM(+R58+W58)</f>
        <v>10443904</v>
      </c>
      <c r="Y58" s="88" t="s">
        <v>359</v>
      </c>
      <c r="Z58" s="91"/>
      <c r="AA58" s="95">
        <v>431002</v>
      </c>
      <c r="AB58" s="90">
        <v>17860000</v>
      </c>
      <c r="AC58" s="90">
        <v>0</v>
      </c>
      <c r="AD58" s="90">
        <f>SUM(+X58+AC58)</f>
        <v>10443904</v>
      </c>
      <c r="AE58" s="88" t="s">
        <v>359</v>
      </c>
      <c r="AF58" s="91"/>
      <c r="AG58" s="95">
        <v>431002</v>
      </c>
      <c r="AH58" s="90">
        <v>17860000</v>
      </c>
      <c r="AI58" s="90">
        <f>+งบดุลบัญชี!AL96</f>
        <v>3946460</v>
      </c>
      <c r="AJ58" s="90">
        <f>SUM(+AD58+AI58)</f>
        <v>14390364</v>
      </c>
      <c r="AK58" s="88" t="s">
        <v>359</v>
      </c>
      <c r="AL58" s="91"/>
      <c r="AM58" s="95">
        <v>431002</v>
      </c>
      <c r="AN58" s="90">
        <v>17860000</v>
      </c>
      <c r="AO58" s="90">
        <f>+งบดุลบัญชี!AR96</f>
        <v>1704270</v>
      </c>
      <c r="AP58" s="90">
        <f>SUM(+AJ58+AO58)</f>
        <v>16094634</v>
      </c>
      <c r="AQ58" s="88" t="s">
        <v>359</v>
      </c>
      <c r="AR58" s="91"/>
      <c r="AS58" s="95">
        <v>431002</v>
      </c>
      <c r="AT58" s="90">
        <v>17860000</v>
      </c>
      <c r="AU58" s="90">
        <f>+งบดุลบัญชี!AX96</f>
        <v>0</v>
      </c>
      <c r="AV58" s="90">
        <f>SUM(+AP58+AU58)</f>
        <v>16094634</v>
      </c>
    </row>
    <row r="59" spans="1:48" s="83" customFormat="1" ht="18.75">
      <c r="A59" s="93" t="s">
        <v>17</v>
      </c>
      <c r="B59" s="152"/>
      <c r="C59" s="94"/>
      <c r="D59" s="184">
        <f>SUM(D58)</f>
        <v>17860000</v>
      </c>
      <c r="E59" s="184">
        <f>SUM(E58)</f>
        <v>0</v>
      </c>
      <c r="F59" s="184">
        <f>SUM(F58)</f>
        <v>0</v>
      </c>
      <c r="G59" s="93" t="s">
        <v>17</v>
      </c>
      <c r="H59" s="198"/>
      <c r="I59" s="94"/>
      <c r="J59" s="184">
        <f>SUM(J58)</f>
        <v>17860000</v>
      </c>
      <c r="K59" s="184">
        <f>SUM(K58)</f>
        <v>1739770</v>
      </c>
      <c r="L59" s="184">
        <f>SUM(L58)</f>
        <v>1739770</v>
      </c>
      <c r="M59" s="93" t="s">
        <v>17</v>
      </c>
      <c r="N59" s="330"/>
      <c r="O59" s="94"/>
      <c r="P59" s="184">
        <f>SUM(P58)</f>
        <v>17860000</v>
      </c>
      <c r="Q59" s="184">
        <f>SUM(Q58)</f>
        <v>6841614</v>
      </c>
      <c r="R59" s="184">
        <f>SUM(R58)</f>
        <v>8581384</v>
      </c>
      <c r="S59" s="93" t="s">
        <v>17</v>
      </c>
      <c r="T59" s="344"/>
      <c r="U59" s="94"/>
      <c r="V59" s="184">
        <f>SUM(V58)</f>
        <v>17860000</v>
      </c>
      <c r="W59" s="184">
        <f>SUM(W58)</f>
        <v>1862520</v>
      </c>
      <c r="X59" s="184">
        <f>SUM(X58)</f>
        <v>10443904</v>
      </c>
      <c r="Y59" s="93" t="s">
        <v>17</v>
      </c>
      <c r="Z59" s="361"/>
      <c r="AA59" s="94"/>
      <c r="AB59" s="184">
        <f>SUM(AB58)</f>
        <v>17860000</v>
      </c>
      <c r="AC59" s="184">
        <f>SUM(AC58)</f>
        <v>0</v>
      </c>
      <c r="AD59" s="184">
        <f>SUM(AD58)</f>
        <v>10443904</v>
      </c>
      <c r="AE59" s="93" t="s">
        <v>17</v>
      </c>
      <c r="AF59" s="378"/>
      <c r="AG59" s="94"/>
      <c r="AH59" s="184">
        <f>SUM(AH58)</f>
        <v>17860000</v>
      </c>
      <c r="AI59" s="184">
        <f>SUM(AI58)</f>
        <v>3946460</v>
      </c>
      <c r="AJ59" s="184">
        <f>SUM(AJ58)</f>
        <v>14390364</v>
      </c>
      <c r="AK59" s="93" t="s">
        <v>17</v>
      </c>
      <c r="AL59" s="399"/>
      <c r="AM59" s="94"/>
      <c r="AN59" s="184">
        <f>SUM(AN58)</f>
        <v>17860000</v>
      </c>
      <c r="AO59" s="184">
        <f>SUM(AO58)</f>
        <v>1704270</v>
      </c>
      <c r="AP59" s="184">
        <f>SUM(AP58)</f>
        <v>16094634</v>
      </c>
      <c r="AQ59" s="93" t="s">
        <v>17</v>
      </c>
      <c r="AR59" s="407"/>
      <c r="AS59" s="94"/>
      <c r="AT59" s="184">
        <f>SUM(AT58)</f>
        <v>17860000</v>
      </c>
      <c r="AU59" s="184">
        <f>SUM(AU58)</f>
        <v>0</v>
      </c>
      <c r="AV59" s="184">
        <f>SUM(AV58)</f>
        <v>16094634</v>
      </c>
    </row>
    <row r="60" spans="1:49" s="83" customFormat="1" ht="19.5" thickBot="1">
      <c r="A60" s="185" t="s">
        <v>190</v>
      </c>
      <c r="B60" s="186"/>
      <c r="C60" s="187"/>
      <c r="D60" s="92">
        <f>SUM(D11,D25,D30,D33,D37,D40,D55,D59)</f>
        <v>33020200</v>
      </c>
      <c r="E60" s="92">
        <f>SUM(E11,E25,E30,E33,E37,E40,E55,E59)</f>
        <v>1651932.43</v>
      </c>
      <c r="F60" s="92">
        <f>SUM(F11,F25,F30,F33,F37,F40,F55,F59)</f>
        <v>1651932.43</v>
      </c>
      <c r="G60" s="185" t="s">
        <v>190</v>
      </c>
      <c r="H60" s="186"/>
      <c r="I60" s="187"/>
      <c r="J60" s="92">
        <f>SUM(J11,J25,J30,J33,J37,J40,J55,J59)</f>
        <v>33020100</v>
      </c>
      <c r="K60" s="92">
        <f>SUM(K11,K25,K30,K33,K37,K40,K55,K59)</f>
        <v>3424010.5100000002</v>
      </c>
      <c r="L60" s="92">
        <f>SUM(L11,L25,L30,L33,L37,L40,L55,L59)</f>
        <v>5075942.9399999995</v>
      </c>
      <c r="M60" s="185" t="s">
        <v>190</v>
      </c>
      <c r="N60" s="186"/>
      <c r="O60" s="187"/>
      <c r="P60" s="92">
        <f>SUM(P11,P25,P30,P33,P37,P40,P55,P59)</f>
        <v>33020100</v>
      </c>
      <c r="Q60" s="92">
        <f>SUM(Q11,Q25,Q30,Q33,Q37,Q40,Q55,Q59)</f>
        <v>7670393.25</v>
      </c>
      <c r="R60" s="92">
        <f>SUM(R11,R25,R30,R33,R37,R40,R55,R59)</f>
        <v>12746336.190000001</v>
      </c>
      <c r="S60" s="185" t="s">
        <v>190</v>
      </c>
      <c r="T60" s="186"/>
      <c r="U60" s="187"/>
      <c r="V60" s="92">
        <f>SUM(V11,V25,V30,V33,V37,V40,V55,V59)</f>
        <v>33020100</v>
      </c>
      <c r="W60" s="92">
        <f>SUM(W11,W25,W30,W33,W37,W40,W55,W59)</f>
        <v>3441258.7600000002</v>
      </c>
      <c r="X60" s="92">
        <f>SUM(X11,X25,X30,X33,X37,X40,X55,X59)</f>
        <v>16187594.950000001</v>
      </c>
      <c r="Y60" s="479" t="s">
        <v>190</v>
      </c>
      <c r="Z60" s="480"/>
      <c r="AA60" s="187"/>
      <c r="AB60" s="92">
        <f>SUM(AB11,AB25,AB30,AB33,AB37,AB40,AB55,AB59)</f>
        <v>33020100</v>
      </c>
      <c r="AC60" s="92">
        <f>SUM(AC11,AC25,AC30,AC33,AC37,AC40,AC55,AC59)</f>
        <v>1580930.54</v>
      </c>
      <c r="AD60" s="92">
        <f>SUM(AD11,AD25,AD30,AD33,AD37,AD40,AD55,AD59)</f>
        <v>17768525.490000002</v>
      </c>
      <c r="AE60" s="479" t="s">
        <v>190</v>
      </c>
      <c r="AF60" s="480"/>
      <c r="AG60" s="187"/>
      <c r="AH60" s="92">
        <f>SUM(AH11,AH25,AH30,AH33,AH37,AH40,AH55,AH59)</f>
        <v>33020100</v>
      </c>
      <c r="AI60" s="92">
        <f>SUM(AI11,AI25,AI30,AI33,AI37,AI40,AI55,AI59)</f>
        <v>5335197.39</v>
      </c>
      <c r="AJ60" s="92">
        <f>SUM(AJ11,AJ25,AJ30,AJ33,AJ37,AJ40,AJ55,AJ59)</f>
        <v>23103722.88</v>
      </c>
      <c r="AK60" s="479" t="s">
        <v>190</v>
      </c>
      <c r="AL60" s="480"/>
      <c r="AM60" s="187"/>
      <c r="AN60" s="92">
        <f>SUM(AN11,AN25,AN30,AN33,AN37,AN40,AN55,AN59)</f>
        <v>33020100</v>
      </c>
      <c r="AO60" s="92">
        <f>SUM(AO11,AO25,AO30,AO33,AO37,AO40,AO55,AO59)</f>
        <v>3327739.5</v>
      </c>
      <c r="AP60" s="92">
        <f>SUM(AP11,AP25,AP30,AP33,AP37,AP40,AP55,AP59)</f>
        <v>26431462.380000003</v>
      </c>
      <c r="AQ60" s="479" t="s">
        <v>190</v>
      </c>
      <c r="AR60" s="480"/>
      <c r="AS60" s="187"/>
      <c r="AT60" s="92">
        <f>SUM(AT11,AT25,AT30,AT33,AT37,AT40,AT55,AT59)</f>
        <v>33020100</v>
      </c>
      <c r="AU60" s="92">
        <f>SUM(AU11,AU25,AU30,AU33,AU37,AU40,AU55,AU59)</f>
        <v>2158010.61</v>
      </c>
      <c r="AV60" s="92">
        <f>SUM(AV11,AV25,AV30,AV33,AV37,AV40,AV55,AV59)</f>
        <v>28589472.990000002</v>
      </c>
      <c r="AW60" s="408">
        <f>+AT60-AV60</f>
        <v>4430627.009999998</v>
      </c>
    </row>
    <row r="61" spans="1:48" s="83" customFormat="1" ht="19.5" thickTop="1">
      <c r="A61" s="175" t="s">
        <v>110</v>
      </c>
      <c r="B61" s="176"/>
      <c r="C61" s="94"/>
      <c r="D61" s="174"/>
      <c r="E61" s="174"/>
      <c r="F61" s="174"/>
      <c r="G61" s="175" t="s">
        <v>110</v>
      </c>
      <c r="H61" s="176"/>
      <c r="I61" s="94"/>
      <c r="J61" s="174"/>
      <c r="K61" s="174"/>
      <c r="L61" s="174"/>
      <c r="M61" s="175" t="s">
        <v>110</v>
      </c>
      <c r="N61" s="176"/>
      <c r="O61" s="94"/>
      <c r="P61" s="174"/>
      <c r="Q61" s="174"/>
      <c r="R61" s="174"/>
      <c r="S61" s="175" t="s">
        <v>110</v>
      </c>
      <c r="T61" s="176"/>
      <c r="U61" s="94"/>
      <c r="V61" s="174"/>
      <c r="W61" s="174"/>
      <c r="X61" s="174"/>
      <c r="Y61" s="175" t="s">
        <v>111</v>
      </c>
      <c r="Z61" s="176"/>
      <c r="AA61" s="94"/>
      <c r="AB61" s="174"/>
      <c r="AC61" s="174"/>
      <c r="AD61" s="174"/>
      <c r="AE61" s="175" t="s">
        <v>111</v>
      </c>
      <c r="AF61" s="176"/>
      <c r="AG61" s="94"/>
      <c r="AH61" s="174"/>
      <c r="AI61" s="174"/>
      <c r="AJ61" s="174"/>
      <c r="AK61" s="175" t="s">
        <v>111</v>
      </c>
      <c r="AL61" s="176"/>
      <c r="AM61" s="94"/>
      <c r="AN61" s="174"/>
      <c r="AO61" s="174"/>
      <c r="AP61" s="174"/>
      <c r="AQ61" s="175" t="s">
        <v>111</v>
      </c>
      <c r="AR61" s="176"/>
      <c r="AS61" s="94"/>
      <c r="AT61" s="174"/>
      <c r="AU61" s="174"/>
      <c r="AV61" s="174"/>
    </row>
    <row r="62" spans="1:48" ht="18.75">
      <c r="A62" s="88" t="s">
        <v>185</v>
      </c>
      <c r="B62" s="91"/>
      <c r="C62" s="95"/>
      <c r="D62" s="90"/>
      <c r="E62" s="90">
        <f>SUM(งบดุลบัญชี!H98)</f>
        <v>0</v>
      </c>
      <c r="F62" s="90">
        <f>SUM(E62)</f>
        <v>0</v>
      </c>
      <c r="G62" s="88" t="s">
        <v>185</v>
      </c>
      <c r="H62" s="91"/>
      <c r="I62" s="95"/>
      <c r="J62" s="90"/>
      <c r="K62" s="90"/>
      <c r="L62" s="90">
        <f>SUM(+F62+K62)</f>
        <v>0</v>
      </c>
      <c r="M62" s="88" t="s">
        <v>185</v>
      </c>
      <c r="N62" s="91"/>
      <c r="O62" s="95"/>
      <c r="P62" s="90"/>
      <c r="Q62" s="90"/>
      <c r="R62" s="90">
        <f>SUM(+L62+Q62)</f>
        <v>0</v>
      </c>
      <c r="S62" s="88" t="s">
        <v>185</v>
      </c>
      <c r="T62" s="91"/>
      <c r="U62" s="95"/>
      <c r="V62" s="90"/>
      <c r="W62" s="90"/>
      <c r="X62" s="90">
        <f>SUM(+R62+W62)</f>
        <v>0</v>
      </c>
      <c r="Y62" s="88" t="s">
        <v>548</v>
      </c>
      <c r="Z62" s="91"/>
      <c r="AA62" s="95"/>
      <c r="AB62" s="90">
        <v>0</v>
      </c>
      <c r="AC62" s="90">
        <f>+งบดุลบัญชี!AF98</f>
        <v>40000</v>
      </c>
      <c r="AD62" s="90">
        <f>SUM(+X62+AC62)</f>
        <v>40000</v>
      </c>
      <c r="AE62" s="88" t="s">
        <v>548</v>
      </c>
      <c r="AF62" s="91"/>
      <c r="AG62" s="95"/>
      <c r="AH62" s="90">
        <v>0</v>
      </c>
      <c r="AI62" s="90">
        <f>+งบดุลบัญชี!AL98</f>
        <v>0</v>
      </c>
      <c r="AJ62" s="90">
        <f>SUM(+AD62+AI62)</f>
        <v>40000</v>
      </c>
      <c r="AK62" s="88" t="s">
        <v>548</v>
      </c>
      <c r="AL62" s="91"/>
      <c r="AM62" s="95"/>
      <c r="AN62" s="90">
        <v>0</v>
      </c>
      <c r="AO62" s="90">
        <f>+งบดุลบัญชี!AR98</f>
        <v>0</v>
      </c>
      <c r="AP62" s="90">
        <f>SUM(+AJ62+AO62)</f>
        <v>40000</v>
      </c>
      <c r="AQ62" s="88" t="s">
        <v>548</v>
      </c>
      <c r="AR62" s="91"/>
      <c r="AS62" s="95"/>
      <c r="AT62" s="90">
        <v>0</v>
      </c>
      <c r="AU62" s="90">
        <f>+งบดุลบัญชี!AX98</f>
        <v>0</v>
      </c>
      <c r="AV62" s="90">
        <f>SUM(+AP62+AU62)</f>
        <v>40000</v>
      </c>
    </row>
    <row r="63" spans="1:48" ht="18.75">
      <c r="A63" s="88"/>
      <c r="B63" s="91"/>
      <c r="C63" s="95"/>
      <c r="D63" s="90"/>
      <c r="E63" s="90"/>
      <c r="F63" s="90"/>
      <c r="G63" s="88"/>
      <c r="H63" s="91"/>
      <c r="I63" s="95"/>
      <c r="J63" s="90"/>
      <c r="K63" s="90"/>
      <c r="L63" s="90">
        <f>SUM(+F63+K63)</f>
        <v>0</v>
      </c>
      <c r="M63" s="88"/>
      <c r="N63" s="91"/>
      <c r="O63" s="95"/>
      <c r="P63" s="90"/>
      <c r="Q63" s="90"/>
      <c r="R63" s="90">
        <f>SUM(+L63+Q63)</f>
        <v>0</v>
      </c>
      <c r="S63" s="88"/>
      <c r="T63" s="91"/>
      <c r="U63" s="95"/>
      <c r="V63" s="90"/>
      <c r="W63" s="90"/>
      <c r="X63" s="90">
        <f>SUM(+R63+W63)</f>
        <v>0</v>
      </c>
      <c r="Y63" s="88"/>
      <c r="Z63" s="91"/>
      <c r="AA63" s="95"/>
      <c r="AB63" s="90"/>
      <c r="AC63" s="90"/>
      <c r="AD63" s="90">
        <f>SUM(+X63+AC63)</f>
        <v>0</v>
      </c>
      <c r="AE63" s="88" t="s">
        <v>569</v>
      </c>
      <c r="AF63" s="91"/>
      <c r="AG63" s="95"/>
      <c r="AH63" s="90"/>
      <c r="AI63" s="90">
        <v>2130000</v>
      </c>
      <c r="AJ63" s="90">
        <f>SUM(+AD63+AI63)</f>
        <v>2130000</v>
      </c>
      <c r="AK63" s="88" t="s">
        <v>569</v>
      </c>
      <c r="AL63" s="91"/>
      <c r="AM63" s="95"/>
      <c r="AN63" s="90"/>
      <c r="AO63" s="90">
        <v>0</v>
      </c>
      <c r="AP63" s="90">
        <f>SUM(+AJ63+AO63)</f>
        <v>2130000</v>
      </c>
      <c r="AQ63" s="88" t="s">
        <v>569</v>
      </c>
      <c r="AR63" s="91"/>
      <c r="AS63" s="95"/>
      <c r="AT63" s="90"/>
      <c r="AU63" s="90">
        <v>0</v>
      </c>
      <c r="AV63" s="90">
        <f>SUM(+AP63+AU63)</f>
        <v>2130000</v>
      </c>
    </row>
    <row r="64" spans="1:48" ht="18.75">
      <c r="A64" s="88"/>
      <c r="B64" s="91"/>
      <c r="C64" s="95"/>
      <c r="D64" s="90"/>
      <c r="E64" s="90"/>
      <c r="F64" s="90"/>
      <c r="G64" s="88"/>
      <c r="H64" s="91"/>
      <c r="I64" s="95"/>
      <c r="J64" s="90"/>
      <c r="K64" s="90"/>
      <c r="L64" s="90"/>
      <c r="M64" s="88"/>
      <c r="N64" s="91"/>
      <c r="O64" s="95"/>
      <c r="P64" s="90"/>
      <c r="Q64" s="90"/>
      <c r="R64" s="90"/>
      <c r="S64" s="88"/>
      <c r="T64" s="91"/>
      <c r="U64" s="95"/>
      <c r="V64" s="90"/>
      <c r="W64" s="90"/>
      <c r="X64" s="90"/>
      <c r="Y64" s="88"/>
      <c r="Z64" s="91"/>
      <c r="AA64" s="95"/>
      <c r="AB64" s="90"/>
      <c r="AC64" s="90"/>
      <c r="AD64" s="90"/>
      <c r="AE64" s="88" t="s">
        <v>568</v>
      </c>
      <c r="AF64" s="91"/>
      <c r="AG64" s="95"/>
      <c r="AH64" s="90"/>
      <c r="AI64" s="90">
        <v>1980000</v>
      </c>
      <c r="AJ64" s="90">
        <f>SUM(+AD64+AI64)</f>
        <v>1980000</v>
      </c>
      <c r="AK64" s="88" t="s">
        <v>568</v>
      </c>
      <c r="AL64" s="91"/>
      <c r="AM64" s="95"/>
      <c r="AN64" s="90"/>
      <c r="AO64" s="90">
        <v>0</v>
      </c>
      <c r="AP64" s="90">
        <f>SUM(+AJ64+AO64)</f>
        <v>1980000</v>
      </c>
      <c r="AQ64" s="88" t="s">
        <v>568</v>
      </c>
      <c r="AR64" s="91"/>
      <c r="AS64" s="95"/>
      <c r="AT64" s="90"/>
      <c r="AU64" s="90">
        <v>0</v>
      </c>
      <c r="AV64" s="90">
        <f>SUM(+AP64+AU64)</f>
        <v>1980000</v>
      </c>
    </row>
    <row r="65" spans="1:48" s="83" customFormat="1" ht="18.75">
      <c r="A65" s="93" t="s">
        <v>17</v>
      </c>
      <c r="B65" s="152"/>
      <c r="C65" s="94"/>
      <c r="D65" s="25">
        <f>SUM(D62:D62)</f>
        <v>0</v>
      </c>
      <c r="E65" s="25">
        <f>SUM(E62:E62)</f>
        <v>0</v>
      </c>
      <c r="F65" s="25">
        <f>SUM(F62:F62)</f>
        <v>0</v>
      </c>
      <c r="G65" s="93" t="s">
        <v>17</v>
      </c>
      <c r="H65" s="198"/>
      <c r="I65" s="94"/>
      <c r="J65" s="25">
        <f>SUM(J62:J62)</f>
        <v>0</v>
      </c>
      <c r="K65" s="25">
        <f>SUM(K62:K62)</f>
        <v>0</v>
      </c>
      <c r="L65" s="25">
        <f>SUM(L62:L62)</f>
        <v>0</v>
      </c>
      <c r="M65" s="93" t="s">
        <v>17</v>
      </c>
      <c r="N65" s="330"/>
      <c r="O65" s="94"/>
      <c r="P65" s="25">
        <f>SUM(P62:P62)</f>
        <v>0</v>
      </c>
      <c r="Q65" s="25">
        <f>SUM(Q62:Q62)</f>
        <v>0</v>
      </c>
      <c r="R65" s="25">
        <f>SUM(R62:R62)</f>
        <v>0</v>
      </c>
      <c r="S65" s="93" t="s">
        <v>17</v>
      </c>
      <c r="T65" s="344"/>
      <c r="U65" s="94"/>
      <c r="V65" s="25">
        <f>SUM(V62:V62)</f>
        <v>0</v>
      </c>
      <c r="W65" s="25">
        <f>SUM(W62:W62)</f>
        <v>0</v>
      </c>
      <c r="X65" s="25">
        <f>SUM(X62:X62)</f>
        <v>0</v>
      </c>
      <c r="Y65" s="93" t="s">
        <v>17</v>
      </c>
      <c r="Z65" s="361"/>
      <c r="AA65" s="94"/>
      <c r="AB65" s="25">
        <f>SUM(AB62:AB62)</f>
        <v>0</v>
      </c>
      <c r="AC65" s="25">
        <f>SUM(AC62:AC62)</f>
        <v>40000</v>
      </c>
      <c r="AD65" s="25">
        <f>SUM(AD62:AD62)</f>
        <v>40000</v>
      </c>
      <c r="AE65" s="93" t="s">
        <v>17</v>
      </c>
      <c r="AF65" s="378"/>
      <c r="AG65" s="94"/>
      <c r="AH65" s="25">
        <f>SUM(AH62:AH62)</f>
        <v>0</v>
      </c>
      <c r="AI65" s="25">
        <f>SUM(AI62:AI64)</f>
        <v>4110000</v>
      </c>
      <c r="AJ65" s="25">
        <f>SUM(AJ62:AJ64)</f>
        <v>4150000</v>
      </c>
      <c r="AK65" s="93" t="s">
        <v>17</v>
      </c>
      <c r="AL65" s="399"/>
      <c r="AM65" s="94"/>
      <c r="AN65" s="25">
        <f>SUM(AN62:AN62)</f>
        <v>0</v>
      </c>
      <c r="AO65" s="25">
        <f>SUM(AO62:AO64)</f>
        <v>0</v>
      </c>
      <c r="AP65" s="25">
        <f>SUM(AP62:AP64)</f>
        <v>4150000</v>
      </c>
      <c r="AQ65" s="93" t="s">
        <v>17</v>
      </c>
      <c r="AR65" s="407"/>
      <c r="AS65" s="94"/>
      <c r="AT65" s="25">
        <f>SUM(AT62:AT62)</f>
        <v>0</v>
      </c>
      <c r="AU65" s="25">
        <f>SUM(AU62:AU64)</f>
        <v>0</v>
      </c>
      <c r="AV65" s="25">
        <f>SUM(AV62:AV64)</f>
        <v>4150000</v>
      </c>
    </row>
    <row r="66" spans="1:48" s="83" customFormat="1" ht="18.75">
      <c r="A66" s="175" t="s">
        <v>111</v>
      </c>
      <c r="B66" s="176"/>
      <c r="C66" s="94"/>
      <c r="D66" s="174"/>
      <c r="E66" s="174"/>
      <c r="F66" s="174"/>
      <c r="G66" s="175" t="s">
        <v>484</v>
      </c>
      <c r="H66" s="176"/>
      <c r="I66" s="94"/>
      <c r="J66" s="174"/>
      <c r="K66" s="174"/>
      <c r="L66" s="174"/>
      <c r="M66" s="175" t="s">
        <v>484</v>
      </c>
      <c r="N66" s="176"/>
      <c r="O66" s="94"/>
      <c r="P66" s="174"/>
      <c r="Q66" s="174"/>
      <c r="R66" s="174"/>
      <c r="S66" s="175" t="s">
        <v>484</v>
      </c>
      <c r="T66" s="176"/>
      <c r="U66" s="94"/>
      <c r="V66" s="174"/>
      <c r="W66" s="174"/>
      <c r="X66" s="174"/>
      <c r="Y66" s="175" t="s">
        <v>484</v>
      </c>
      <c r="Z66" s="176"/>
      <c r="AA66" s="94"/>
      <c r="AB66" s="174"/>
      <c r="AC66" s="174"/>
      <c r="AD66" s="174"/>
      <c r="AE66" s="175" t="s">
        <v>484</v>
      </c>
      <c r="AF66" s="176"/>
      <c r="AG66" s="94"/>
      <c r="AH66" s="174"/>
      <c r="AI66" s="174"/>
      <c r="AJ66" s="174"/>
      <c r="AK66" s="175" t="s">
        <v>484</v>
      </c>
      <c r="AL66" s="176"/>
      <c r="AM66" s="94"/>
      <c r="AN66" s="174"/>
      <c r="AO66" s="174"/>
      <c r="AP66" s="174"/>
      <c r="AQ66" s="175" t="s">
        <v>484</v>
      </c>
      <c r="AR66" s="176"/>
      <c r="AS66" s="94"/>
      <c r="AT66" s="174"/>
      <c r="AU66" s="174"/>
      <c r="AV66" s="174"/>
    </row>
    <row r="67" spans="1:48" ht="18.75">
      <c r="A67" s="88" t="s">
        <v>186</v>
      </c>
      <c r="B67" s="91"/>
      <c r="C67" s="95"/>
      <c r="D67" s="90"/>
      <c r="E67" s="90">
        <f>SUM(งบดุลบัญชี!H102)</f>
        <v>0</v>
      </c>
      <c r="F67" s="90">
        <f aca="true" t="shared" si="12" ref="F67:F75">SUM(E67)</f>
        <v>0</v>
      </c>
      <c r="G67" s="88" t="s">
        <v>186</v>
      </c>
      <c r="H67" s="91"/>
      <c r="I67" s="95"/>
      <c r="J67" s="90"/>
      <c r="K67" s="90">
        <f>SUM(งบดุลบัญชี!N102)</f>
        <v>2434800</v>
      </c>
      <c r="L67" s="90">
        <f>SUM(+F67+K67)</f>
        <v>2434800</v>
      </c>
      <c r="M67" s="88" t="s">
        <v>521</v>
      </c>
      <c r="N67" s="91"/>
      <c r="O67" s="95"/>
      <c r="P67" s="90"/>
      <c r="Q67" s="90">
        <f>SUM(งบดุลบัญชี!T102)</f>
        <v>807200</v>
      </c>
      <c r="R67" s="90">
        <f>SUM(+L67+Q67)</f>
        <v>3242000</v>
      </c>
      <c r="S67" s="88" t="s">
        <v>521</v>
      </c>
      <c r="T67" s="91"/>
      <c r="U67" s="95"/>
      <c r="V67" s="90"/>
      <c r="W67" s="90">
        <f>SUM(งบดุลบัญชี!Z102)</f>
        <v>807200</v>
      </c>
      <c r="X67" s="90">
        <f>SUM(+R67+W67)</f>
        <v>4049200</v>
      </c>
      <c r="Y67" s="88" t="s">
        <v>521</v>
      </c>
      <c r="Z67" s="91"/>
      <c r="AA67" s="95"/>
      <c r="AB67" s="90"/>
      <c r="AC67" s="90">
        <v>0</v>
      </c>
      <c r="AD67" s="90">
        <f>SUM(+X67+AC67)</f>
        <v>4049200</v>
      </c>
      <c r="AE67" s="88" t="s">
        <v>521</v>
      </c>
      <c r="AF67" s="91"/>
      <c r="AG67" s="95"/>
      <c r="AH67" s="90"/>
      <c r="AI67" s="90">
        <f>+งบดุลบัญชี!AL102</f>
        <v>1614400</v>
      </c>
      <c r="AJ67" s="90">
        <f>SUM(+AD67+AI67)</f>
        <v>5663600</v>
      </c>
      <c r="AK67" s="88" t="s">
        <v>521</v>
      </c>
      <c r="AL67" s="91"/>
      <c r="AM67" s="95"/>
      <c r="AN67" s="90"/>
      <c r="AO67" s="90">
        <f>+งบดุลบัญชี!AR102</f>
        <v>0</v>
      </c>
      <c r="AP67" s="90">
        <f>SUM(+AJ67+AO67)</f>
        <v>5663600</v>
      </c>
      <c r="AQ67" s="88" t="s">
        <v>521</v>
      </c>
      <c r="AR67" s="91"/>
      <c r="AS67" s="95"/>
      <c r="AT67" s="90"/>
      <c r="AU67" s="90">
        <v>807200</v>
      </c>
      <c r="AV67" s="90">
        <f>SUM(+AP67+AU67)</f>
        <v>6470800</v>
      </c>
    </row>
    <row r="68" spans="1:48" ht="18.75">
      <c r="A68" s="88" t="s">
        <v>187</v>
      </c>
      <c r="B68" s="91"/>
      <c r="C68" s="95"/>
      <c r="D68" s="90"/>
      <c r="E68" s="90">
        <f>SUM(งบดุลบัญชี!H103)</f>
        <v>0</v>
      </c>
      <c r="F68" s="90">
        <f t="shared" si="12"/>
        <v>0</v>
      </c>
      <c r="G68" s="88" t="s">
        <v>187</v>
      </c>
      <c r="H68" s="91"/>
      <c r="I68" s="95"/>
      <c r="J68" s="90"/>
      <c r="K68" s="90">
        <f>SUM(งบดุลบัญชี!N103)</f>
        <v>262500</v>
      </c>
      <c r="L68" s="90">
        <f aca="true" t="shared" si="13" ref="L68:L73">SUM(+F68+K68)</f>
        <v>262500</v>
      </c>
      <c r="M68" s="88" t="s">
        <v>522</v>
      </c>
      <c r="N68" s="91"/>
      <c r="O68" s="95"/>
      <c r="P68" s="90"/>
      <c r="Q68" s="90">
        <f>SUM(งบดุลบัญชี!T103)</f>
        <v>296700</v>
      </c>
      <c r="R68" s="90">
        <f aca="true" t="shared" si="14" ref="R68:R73">SUM(+L68+Q68)</f>
        <v>559200</v>
      </c>
      <c r="S68" s="88" t="s">
        <v>522</v>
      </c>
      <c r="T68" s="91"/>
      <c r="U68" s="95"/>
      <c r="V68" s="90"/>
      <c r="W68" s="90">
        <f>SUM(งบดุลบัญชี!Z103)</f>
        <v>0</v>
      </c>
      <c r="X68" s="90">
        <f aca="true" t="shared" si="15" ref="X68:X73">SUM(+R68+W68)</f>
        <v>559200</v>
      </c>
      <c r="Y68" s="88" t="s">
        <v>522</v>
      </c>
      <c r="Z68" s="91"/>
      <c r="AA68" s="95"/>
      <c r="AB68" s="90"/>
      <c r="AC68" s="90">
        <f>SUM(งบดุลบัญชี!AF103)</f>
        <v>0</v>
      </c>
      <c r="AD68" s="90">
        <f aca="true" t="shared" si="16" ref="AD68:AD74">SUM(+X68+AC68)</f>
        <v>559200</v>
      </c>
      <c r="AE68" s="88" t="s">
        <v>522</v>
      </c>
      <c r="AF68" s="91"/>
      <c r="AG68" s="95"/>
      <c r="AH68" s="90"/>
      <c r="AI68" s="90">
        <f>SUM(งบดุลบัญชี!AL103)</f>
        <v>417600</v>
      </c>
      <c r="AJ68" s="90">
        <f aca="true" t="shared" si="17" ref="AJ68:AJ74">SUM(+AD68+AI68)</f>
        <v>976800</v>
      </c>
      <c r="AK68" s="88" t="s">
        <v>522</v>
      </c>
      <c r="AL68" s="91"/>
      <c r="AM68" s="95"/>
      <c r="AN68" s="90"/>
      <c r="AO68" s="90">
        <f>SUM(งบดุลบัญชี!AR103)</f>
        <v>0</v>
      </c>
      <c r="AP68" s="90">
        <f aca="true" t="shared" si="18" ref="AP68:AP74">SUM(+AJ68+AO68)</f>
        <v>976800</v>
      </c>
      <c r="AQ68" s="88" t="s">
        <v>522</v>
      </c>
      <c r="AR68" s="91"/>
      <c r="AS68" s="95"/>
      <c r="AT68" s="90"/>
      <c r="AU68" s="90">
        <v>139200</v>
      </c>
      <c r="AV68" s="90">
        <f aca="true" t="shared" si="19" ref="AV68:AV74">SUM(+AP68+AU68)</f>
        <v>1116000</v>
      </c>
    </row>
    <row r="69" spans="1:48" ht="18.75">
      <c r="A69" s="88" t="s">
        <v>357</v>
      </c>
      <c r="B69" s="91"/>
      <c r="C69" s="95"/>
      <c r="D69" s="90"/>
      <c r="E69" s="90">
        <v>0</v>
      </c>
      <c r="F69" s="90">
        <f t="shared" si="12"/>
        <v>0</v>
      </c>
      <c r="G69" s="88" t="s">
        <v>357</v>
      </c>
      <c r="H69" s="91"/>
      <c r="I69" s="95"/>
      <c r="J69" s="90"/>
      <c r="K69" s="90">
        <v>6255</v>
      </c>
      <c r="L69" s="90">
        <f t="shared" si="13"/>
        <v>6255</v>
      </c>
      <c r="M69" s="88" t="s">
        <v>357</v>
      </c>
      <c r="N69" s="91"/>
      <c r="O69" s="95"/>
      <c r="P69" s="90"/>
      <c r="Q69" s="90">
        <v>0</v>
      </c>
      <c r="R69" s="90">
        <f t="shared" si="14"/>
        <v>6255</v>
      </c>
      <c r="S69" s="88" t="s">
        <v>357</v>
      </c>
      <c r="T69" s="91"/>
      <c r="U69" s="95"/>
      <c r="V69" s="90"/>
      <c r="W69" s="90">
        <v>0</v>
      </c>
      <c r="X69" s="90">
        <f t="shared" si="15"/>
        <v>6255</v>
      </c>
      <c r="Y69" s="88" t="s">
        <v>357</v>
      </c>
      <c r="Z69" s="91"/>
      <c r="AA69" s="95"/>
      <c r="AB69" s="90"/>
      <c r="AC69" s="90">
        <f>+งบดุลบัญชี!AF107</f>
        <v>2085</v>
      </c>
      <c r="AD69" s="90">
        <f t="shared" si="16"/>
        <v>8340</v>
      </c>
      <c r="AE69" s="88" t="s">
        <v>357</v>
      </c>
      <c r="AF69" s="91"/>
      <c r="AG69" s="95"/>
      <c r="AH69" s="90"/>
      <c r="AI69" s="90">
        <f>+งบดุลบัญชี!AL107</f>
        <v>4170</v>
      </c>
      <c r="AJ69" s="90">
        <f t="shared" si="17"/>
        <v>12510</v>
      </c>
      <c r="AK69" s="88" t="s">
        <v>357</v>
      </c>
      <c r="AL69" s="91"/>
      <c r="AM69" s="95"/>
      <c r="AN69" s="90"/>
      <c r="AO69" s="90">
        <f>+งบดุลบัญชี!AR107</f>
        <v>3055</v>
      </c>
      <c r="AP69" s="90">
        <f t="shared" si="18"/>
        <v>15565</v>
      </c>
      <c r="AQ69" s="88" t="s">
        <v>357</v>
      </c>
      <c r="AR69" s="91"/>
      <c r="AS69" s="95"/>
      <c r="AT69" s="90"/>
      <c r="AU69" s="90">
        <f>+งบดุลบัญชี!AX107</f>
        <v>0</v>
      </c>
      <c r="AV69" s="90">
        <f t="shared" si="19"/>
        <v>15565</v>
      </c>
    </row>
    <row r="70" spans="1:48" ht="18.75">
      <c r="A70" s="88"/>
      <c r="B70" s="91"/>
      <c r="C70" s="95"/>
      <c r="D70" s="90"/>
      <c r="E70" s="90"/>
      <c r="F70" s="90"/>
      <c r="G70" s="88" t="s">
        <v>495</v>
      </c>
      <c r="H70" s="91"/>
      <c r="I70" s="95"/>
      <c r="J70" s="90"/>
      <c r="K70" s="90">
        <v>207480</v>
      </c>
      <c r="L70" s="90">
        <f t="shared" si="13"/>
        <v>207480</v>
      </c>
      <c r="M70" s="88" t="s">
        <v>495</v>
      </c>
      <c r="N70" s="91"/>
      <c r="O70" s="95"/>
      <c r="P70" s="90"/>
      <c r="Q70" s="90">
        <v>0</v>
      </c>
      <c r="R70" s="90">
        <f t="shared" si="14"/>
        <v>207480</v>
      </c>
      <c r="S70" s="88" t="s">
        <v>495</v>
      </c>
      <c r="T70" s="91"/>
      <c r="U70" s="95"/>
      <c r="V70" s="90"/>
      <c r="W70" s="90">
        <v>0</v>
      </c>
      <c r="X70" s="90">
        <f t="shared" si="15"/>
        <v>207480</v>
      </c>
      <c r="Y70" s="88" t="s">
        <v>495</v>
      </c>
      <c r="Z70" s="91"/>
      <c r="AA70" s="95"/>
      <c r="AB70" s="90"/>
      <c r="AC70" s="90">
        <f>+งบดุลบัญชี!AF105</f>
        <v>207480</v>
      </c>
      <c r="AD70" s="90">
        <f t="shared" si="16"/>
        <v>414960</v>
      </c>
      <c r="AE70" s="88" t="s">
        <v>495</v>
      </c>
      <c r="AF70" s="91"/>
      <c r="AG70" s="95"/>
      <c r="AH70" s="90"/>
      <c r="AI70" s="90">
        <f>+งบดุลบัญชี!AL105</f>
        <v>0</v>
      </c>
      <c r="AJ70" s="90">
        <f t="shared" si="17"/>
        <v>414960</v>
      </c>
      <c r="AK70" s="88" t="s">
        <v>495</v>
      </c>
      <c r="AL70" s="91"/>
      <c r="AM70" s="95"/>
      <c r="AN70" s="90"/>
      <c r="AO70" s="90">
        <f>+งบดุลบัญชี!AR105</f>
        <v>300242</v>
      </c>
      <c r="AP70" s="90">
        <f t="shared" si="18"/>
        <v>715202</v>
      </c>
      <c r="AQ70" s="88" t="s">
        <v>495</v>
      </c>
      <c r="AR70" s="91"/>
      <c r="AS70" s="95"/>
      <c r="AT70" s="90"/>
      <c r="AU70" s="90">
        <f>+งบดุลบัญชี!AX105</f>
        <v>0</v>
      </c>
      <c r="AV70" s="90">
        <f t="shared" si="19"/>
        <v>715202</v>
      </c>
    </row>
    <row r="71" spans="1:48" ht="18.75">
      <c r="A71" s="88" t="s">
        <v>360</v>
      </c>
      <c r="B71" s="91"/>
      <c r="C71" s="95"/>
      <c r="D71" s="90"/>
      <c r="E71" s="90">
        <f>SUM(งบดุลบัญชี!H104)</f>
        <v>0</v>
      </c>
      <c r="F71" s="90">
        <f t="shared" si="12"/>
        <v>0</v>
      </c>
      <c r="G71" s="88" t="s">
        <v>496</v>
      </c>
      <c r="H71" s="91"/>
      <c r="I71" s="95"/>
      <c r="J71" s="90"/>
      <c r="K71" s="90">
        <v>125100</v>
      </c>
      <c r="L71" s="90">
        <f t="shared" si="13"/>
        <v>125100</v>
      </c>
      <c r="M71" s="88" t="s">
        <v>496</v>
      </c>
      <c r="N71" s="91"/>
      <c r="O71" s="95"/>
      <c r="P71" s="90"/>
      <c r="Q71" s="90">
        <v>0</v>
      </c>
      <c r="R71" s="90">
        <f t="shared" si="14"/>
        <v>125100</v>
      </c>
      <c r="S71" s="88" t="s">
        <v>496</v>
      </c>
      <c r="T71" s="91"/>
      <c r="U71" s="95"/>
      <c r="V71" s="90"/>
      <c r="W71" s="90">
        <v>0</v>
      </c>
      <c r="X71" s="90">
        <f t="shared" si="15"/>
        <v>125100</v>
      </c>
      <c r="Y71" s="88" t="s">
        <v>496</v>
      </c>
      <c r="Z71" s="91"/>
      <c r="AA71" s="95"/>
      <c r="AB71" s="90"/>
      <c r="AC71" s="90">
        <f>+งบดุลบัญชี!AF106</f>
        <v>41700</v>
      </c>
      <c r="AD71" s="90">
        <f t="shared" si="16"/>
        <v>166800</v>
      </c>
      <c r="AE71" s="88" t="s">
        <v>496</v>
      </c>
      <c r="AF71" s="91"/>
      <c r="AG71" s="95"/>
      <c r="AH71" s="90"/>
      <c r="AI71" s="90">
        <f>+งบดุลบัญชี!AL106</f>
        <v>83400</v>
      </c>
      <c r="AJ71" s="90">
        <f t="shared" si="17"/>
        <v>250200</v>
      </c>
      <c r="AK71" s="88" t="s">
        <v>496</v>
      </c>
      <c r="AL71" s="91"/>
      <c r="AM71" s="95"/>
      <c r="AN71" s="90"/>
      <c r="AO71" s="90">
        <f>+งบดุลบัญชี!AR106</f>
        <v>61107</v>
      </c>
      <c r="AP71" s="90">
        <f t="shared" si="18"/>
        <v>311307</v>
      </c>
      <c r="AQ71" s="88" t="s">
        <v>496</v>
      </c>
      <c r="AR71" s="91"/>
      <c r="AS71" s="95"/>
      <c r="AT71" s="90"/>
      <c r="AU71" s="90">
        <f>+งบดุลบัญชี!AX106</f>
        <v>0</v>
      </c>
      <c r="AV71" s="90">
        <f t="shared" si="19"/>
        <v>311307</v>
      </c>
    </row>
    <row r="72" spans="1:48" ht="18.75">
      <c r="A72" s="88" t="s">
        <v>188</v>
      </c>
      <c r="B72" s="91"/>
      <c r="C72" s="95"/>
      <c r="D72" s="90"/>
      <c r="E72" s="90">
        <f>SUM(งบดุลบัญชี!H106)</f>
        <v>0</v>
      </c>
      <c r="F72" s="90">
        <f t="shared" si="12"/>
        <v>0</v>
      </c>
      <c r="G72" s="88" t="s">
        <v>497</v>
      </c>
      <c r="H72" s="91"/>
      <c r="I72" s="95"/>
      <c r="J72" s="90"/>
      <c r="K72" s="90">
        <v>148750</v>
      </c>
      <c r="L72" s="90">
        <f t="shared" si="13"/>
        <v>148750</v>
      </c>
      <c r="M72" s="88" t="s">
        <v>497</v>
      </c>
      <c r="N72" s="91"/>
      <c r="O72" s="95"/>
      <c r="P72" s="90"/>
      <c r="Q72" s="90">
        <v>0</v>
      </c>
      <c r="R72" s="90">
        <f t="shared" si="14"/>
        <v>148750</v>
      </c>
      <c r="S72" s="88" t="s">
        <v>497</v>
      </c>
      <c r="T72" s="91"/>
      <c r="U72" s="95"/>
      <c r="V72" s="90"/>
      <c r="W72" s="90">
        <v>0</v>
      </c>
      <c r="X72" s="90">
        <f t="shared" si="15"/>
        <v>148750</v>
      </c>
      <c r="Y72" s="88" t="s">
        <v>497</v>
      </c>
      <c r="Z72" s="91"/>
      <c r="AA72" s="95"/>
      <c r="AB72" s="90"/>
      <c r="AC72" s="90">
        <v>0</v>
      </c>
      <c r="AD72" s="90">
        <f t="shared" si="16"/>
        <v>148750</v>
      </c>
      <c r="AE72" s="88" t="s">
        <v>497</v>
      </c>
      <c r="AF72" s="91"/>
      <c r="AG72" s="95"/>
      <c r="AH72" s="90"/>
      <c r="AI72" s="90">
        <v>0</v>
      </c>
      <c r="AJ72" s="90">
        <f t="shared" si="17"/>
        <v>148750</v>
      </c>
      <c r="AK72" s="88" t="s">
        <v>497</v>
      </c>
      <c r="AL72" s="91"/>
      <c r="AM72" s="95"/>
      <c r="AN72" s="90"/>
      <c r="AO72" s="90">
        <f>+งบดุลบัญชี!AR109</f>
        <v>148750</v>
      </c>
      <c r="AP72" s="90">
        <f t="shared" si="18"/>
        <v>297500</v>
      </c>
      <c r="AQ72" s="88" t="s">
        <v>497</v>
      </c>
      <c r="AR72" s="91"/>
      <c r="AS72" s="95"/>
      <c r="AT72" s="90"/>
      <c r="AU72" s="90">
        <f>+งบดุลบัญชี!AX109</f>
        <v>0</v>
      </c>
      <c r="AV72" s="90">
        <f t="shared" si="19"/>
        <v>297500</v>
      </c>
    </row>
    <row r="73" spans="1:48" ht="18.75">
      <c r="A73" s="88"/>
      <c r="B73" s="91"/>
      <c r="C73" s="95"/>
      <c r="D73" s="90"/>
      <c r="E73" s="90"/>
      <c r="F73" s="90"/>
      <c r="G73" s="88" t="s">
        <v>498</v>
      </c>
      <c r="H73" s="91"/>
      <c r="I73" s="95"/>
      <c r="J73" s="90"/>
      <c r="K73" s="90">
        <v>1118881</v>
      </c>
      <c r="L73" s="90">
        <f t="shared" si="13"/>
        <v>1118881</v>
      </c>
      <c r="M73" s="88" t="s">
        <v>498</v>
      </c>
      <c r="N73" s="91"/>
      <c r="O73" s="95"/>
      <c r="P73" s="90"/>
      <c r="Q73" s="90">
        <v>0</v>
      </c>
      <c r="R73" s="90">
        <f t="shared" si="14"/>
        <v>1118881</v>
      </c>
      <c r="S73" s="88" t="s">
        <v>498</v>
      </c>
      <c r="T73" s="91"/>
      <c r="U73" s="95"/>
      <c r="V73" s="90"/>
      <c r="W73" s="90">
        <v>0</v>
      </c>
      <c r="X73" s="90">
        <f t="shared" si="15"/>
        <v>1118881</v>
      </c>
      <c r="Y73" s="88" t="s">
        <v>498</v>
      </c>
      <c r="Z73" s="91"/>
      <c r="AA73" s="95"/>
      <c r="AB73" s="90"/>
      <c r="AC73" s="90">
        <v>0</v>
      </c>
      <c r="AD73" s="90">
        <f t="shared" si="16"/>
        <v>1118881</v>
      </c>
      <c r="AE73" s="88" t="s">
        <v>498</v>
      </c>
      <c r="AF73" s="91"/>
      <c r="AG73" s="95"/>
      <c r="AH73" s="90"/>
      <c r="AI73" s="90">
        <v>0</v>
      </c>
      <c r="AJ73" s="90">
        <f t="shared" si="17"/>
        <v>1118881</v>
      </c>
      <c r="AK73" s="88" t="s">
        <v>498</v>
      </c>
      <c r="AL73" s="91"/>
      <c r="AM73" s="95"/>
      <c r="AN73" s="90"/>
      <c r="AO73" s="90">
        <v>0</v>
      </c>
      <c r="AP73" s="90">
        <f t="shared" si="18"/>
        <v>1118881</v>
      </c>
      <c r="AQ73" s="88" t="s">
        <v>498</v>
      </c>
      <c r="AR73" s="91"/>
      <c r="AS73" s="95"/>
      <c r="AT73" s="90"/>
      <c r="AU73" s="90">
        <v>0</v>
      </c>
      <c r="AV73" s="90">
        <f t="shared" si="19"/>
        <v>1118881</v>
      </c>
    </row>
    <row r="74" spans="1:48" ht="18.75">
      <c r="A74" s="88"/>
      <c r="B74" s="91"/>
      <c r="C74" s="95"/>
      <c r="D74" s="90"/>
      <c r="E74" s="90"/>
      <c r="F74" s="90"/>
      <c r="G74" s="88"/>
      <c r="H74" s="91"/>
      <c r="I74" s="95"/>
      <c r="J74" s="90"/>
      <c r="K74" s="90"/>
      <c r="L74" s="90"/>
      <c r="M74" s="88"/>
      <c r="N74" s="91"/>
      <c r="O74" s="95"/>
      <c r="P74" s="90"/>
      <c r="Q74" s="90"/>
      <c r="R74" s="90"/>
      <c r="S74" s="88"/>
      <c r="T74" s="91"/>
      <c r="U74" s="95"/>
      <c r="V74" s="90"/>
      <c r="W74" s="90"/>
      <c r="X74" s="90"/>
      <c r="Y74" s="88" t="s">
        <v>549</v>
      </c>
      <c r="Z74" s="91"/>
      <c r="AA74" s="95"/>
      <c r="AB74" s="90"/>
      <c r="AC74" s="90">
        <f>+งบดุลบัญชี!AF111</f>
        <v>70000</v>
      </c>
      <c r="AD74" s="90">
        <f t="shared" si="16"/>
        <v>70000</v>
      </c>
      <c r="AE74" s="88" t="s">
        <v>549</v>
      </c>
      <c r="AF74" s="91"/>
      <c r="AG74" s="95"/>
      <c r="AH74" s="90"/>
      <c r="AI74" s="90">
        <f>+งบดุลบัญชี!AL111</f>
        <v>50000</v>
      </c>
      <c r="AJ74" s="90">
        <f t="shared" si="17"/>
        <v>120000</v>
      </c>
      <c r="AK74" s="88" t="s">
        <v>549</v>
      </c>
      <c r="AL74" s="91"/>
      <c r="AM74" s="95"/>
      <c r="AN74" s="90"/>
      <c r="AO74" s="90">
        <f>+งบดุลบัญชี!AR111</f>
        <v>0</v>
      </c>
      <c r="AP74" s="90">
        <f t="shared" si="18"/>
        <v>120000</v>
      </c>
      <c r="AQ74" s="88" t="s">
        <v>549</v>
      </c>
      <c r="AR74" s="91"/>
      <c r="AS74" s="95"/>
      <c r="AT74" s="90"/>
      <c r="AU74" s="90">
        <f>+งบดุลบัญชี!AX111</f>
        <v>0</v>
      </c>
      <c r="AV74" s="90">
        <f t="shared" si="19"/>
        <v>120000</v>
      </c>
    </row>
    <row r="75" spans="1:48" ht="18.75">
      <c r="A75" s="88"/>
      <c r="B75" s="91"/>
      <c r="C75" s="95"/>
      <c r="D75" s="90"/>
      <c r="E75" s="90"/>
      <c r="F75" s="90">
        <f t="shared" si="12"/>
        <v>0</v>
      </c>
      <c r="G75" s="88"/>
      <c r="H75" s="91"/>
      <c r="I75" s="95"/>
      <c r="J75" s="90"/>
      <c r="K75" s="90"/>
      <c r="L75" s="90">
        <f>SUM(K75)</f>
        <v>0</v>
      </c>
      <c r="M75" s="88"/>
      <c r="N75" s="91"/>
      <c r="O75" s="95"/>
      <c r="P75" s="90"/>
      <c r="Q75" s="90"/>
      <c r="R75" s="90">
        <f>SUM(Q75)</f>
        <v>0</v>
      </c>
      <c r="S75" s="88"/>
      <c r="T75" s="91"/>
      <c r="U75" s="95"/>
      <c r="V75" s="90"/>
      <c r="W75" s="90"/>
      <c r="X75" s="90">
        <f>SUM(W75)</f>
        <v>0</v>
      </c>
      <c r="Y75" s="88"/>
      <c r="Z75" s="91"/>
      <c r="AA75" s="95"/>
      <c r="AB75" s="90"/>
      <c r="AC75" s="90"/>
      <c r="AD75" s="90">
        <f>SUM(AC75)</f>
        <v>0</v>
      </c>
      <c r="AE75" s="88"/>
      <c r="AF75" s="91"/>
      <c r="AG75" s="95"/>
      <c r="AH75" s="90"/>
      <c r="AI75" s="90"/>
      <c r="AJ75" s="90">
        <f>SUM(AI75)</f>
        <v>0</v>
      </c>
      <c r="AK75" s="88"/>
      <c r="AL75" s="91"/>
      <c r="AM75" s="95"/>
      <c r="AN75" s="90"/>
      <c r="AO75" s="90"/>
      <c r="AP75" s="90">
        <f>SUM(AO75)</f>
        <v>0</v>
      </c>
      <c r="AQ75" s="88"/>
      <c r="AR75" s="91"/>
      <c r="AS75" s="95"/>
      <c r="AT75" s="90"/>
      <c r="AU75" s="90"/>
      <c r="AV75" s="90">
        <f>SUM(AU75)</f>
        <v>0</v>
      </c>
    </row>
    <row r="76" spans="1:48" s="83" customFormat="1" ht="18.75">
      <c r="A76" s="445" t="s">
        <v>17</v>
      </c>
      <c r="B76" s="447"/>
      <c r="C76" s="188"/>
      <c r="D76" s="184">
        <f>SUM(D67:D72)</f>
        <v>0</v>
      </c>
      <c r="E76" s="184">
        <f>SUM(E67:E72)</f>
        <v>0</v>
      </c>
      <c r="F76" s="184">
        <f>SUM(F67:F72)</f>
        <v>0</v>
      </c>
      <c r="G76" s="445" t="s">
        <v>17</v>
      </c>
      <c r="H76" s="447"/>
      <c r="I76" s="188"/>
      <c r="J76" s="184">
        <f>SUM(J67:J72)</f>
        <v>0</v>
      </c>
      <c r="K76" s="184">
        <f>SUM(K67:K73)</f>
        <v>4303766</v>
      </c>
      <c r="L76" s="184">
        <f>SUM(L67:L73)</f>
        <v>4303766</v>
      </c>
      <c r="M76" s="445" t="s">
        <v>17</v>
      </c>
      <c r="N76" s="447"/>
      <c r="O76" s="188"/>
      <c r="P76" s="184">
        <f>SUM(P67:P72)</f>
        <v>0</v>
      </c>
      <c r="Q76" s="184">
        <f>SUM(Q67:Q73)</f>
        <v>1103900</v>
      </c>
      <c r="R76" s="184">
        <f>SUM(R67:R73)</f>
        <v>5407666</v>
      </c>
      <c r="S76" s="445" t="s">
        <v>17</v>
      </c>
      <c r="T76" s="447"/>
      <c r="U76" s="188"/>
      <c r="V76" s="184">
        <f>SUM(V67:V72)</f>
        <v>0</v>
      </c>
      <c r="W76" s="184">
        <f>SUM(W67:W73)</f>
        <v>807200</v>
      </c>
      <c r="X76" s="184">
        <f>SUM(X67:X73)</f>
        <v>6214866</v>
      </c>
      <c r="Y76" s="445" t="s">
        <v>17</v>
      </c>
      <c r="Z76" s="447"/>
      <c r="AA76" s="188"/>
      <c r="AB76" s="184">
        <f>SUM(AB67:AB72)</f>
        <v>0</v>
      </c>
      <c r="AC76" s="184">
        <f>SUM(AC67:AC75)</f>
        <v>321265</v>
      </c>
      <c r="AD76" s="184">
        <f>SUM(AD67:AD75)</f>
        <v>6536131</v>
      </c>
      <c r="AE76" s="445" t="s">
        <v>17</v>
      </c>
      <c r="AF76" s="447"/>
      <c r="AG76" s="188"/>
      <c r="AH76" s="184">
        <f>SUM(AH67:AH72)</f>
        <v>0</v>
      </c>
      <c r="AI76" s="184">
        <f>SUM(AI67:AI75)</f>
        <v>2169570</v>
      </c>
      <c r="AJ76" s="184">
        <f>SUM(AJ67:AJ75)</f>
        <v>8705701</v>
      </c>
      <c r="AK76" s="445" t="s">
        <v>17</v>
      </c>
      <c r="AL76" s="447"/>
      <c r="AM76" s="188"/>
      <c r="AN76" s="184">
        <f>SUM(AN67:AN72)</f>
        <v>0</v>
      </c>
      <c r="AO76" s="184">
        <f>SUM(AO67:AO75)</f>
        <v>513154</v>
      </c>
      <c r="AP76" s="184">
        <f>SUM(AP67:AP75)</f>
        <v>9218855</v>
      </c>
      <c r="AQ76" s="445" t="s">
        <v>17</v>
      </c>
      <c r="AR76" s="447"/>
      <c r="AS76" s="188"/>
      <c r="AT76" s="184">
        <f>SUM(AT67:AT72)</f>
        <v>0</v>
      </c>
      <c r="AU76" s="184">
        <f>SUM(AU67:AU75)</f>
        <v>946400</v>
      </c>
      <c r="AV76" s="184">
        <f>SUM(AV67:AV75)</f>
        <v>10165255</v>
      </c>
    </row>
    <row r="77" spans="1:48" s="83" customFormat="1" ht="19.5" thickBot="1">
      <c r="A77" s="474" t="s">
        <v>191</v>
      </c>
      <c r="B77" s="475"/>
      <c r="C77" s="189"/>
      <c r="D77" s="190">
        <f>+D60+D76</f>
        <v>33020200</v>
      </c>
      <c r="E77" s="190">
        <f>+E60+E76</f>
        <v>1651932.43</v>
      </c>
      <c r="F77" s="190">
        <f>+F60+F76</f>
        <v>1651932.43</v>
      </c>
      <c r="G77" s="474" t="s">
        <v>191</v>
      </c>
      <c r="H77" s="475"/>
      <c r="I77" s="189"/>
      <c r="J77" s="190">
        <f>SUM(J6,J44,J56)</f>
        <v>0</v>
      </c>
      <c r="K77" s="190">
        <f>SUM(K60,K65,K76)</f>
        <v>7727776.51</v>
      </c>
      <c r="L77" s="190">
        <f>SUM(L60,L65,L76)</f>
        <v>9379708.94</v>
      </c>
      <c r="M77" s="474" t="s">
        <v>191</v>
      </c>
      <c r="N77" s="475"/>
      <c r="O77" s="189"/>
      <c r="P77" s="190">
        <f>SUM(P6,P44,P56)</f>
        <v>0</v>
      </c>
      <c r="Q77" s="190">
        <f>SUM(Q60,Q65,Q76)</f>
        <v>8774293.25</v>
      </c>
      <c r="R77" s="190">
        <f>SUM(R60,R65,R76)</f>
        <v>18154002.19</v>
      </c>
      <c r="S77" s="474" t="s">
        <v>191</v>
      </c>
      <c r="T77" s="475"/>
      <c r="U77" s="189"/>
      <c r="V77" s="190">
        <f>SUM(V6,V44,V56)</f>
        <v>0</v>
      </c>
      <c r="W77" s="190">
        <f>SUM(W60,W65,W76)</f>
        <v>4248458.76</v>
      </c>
      <c r="X77" s="190">
        <f>SUM(X60,X65,X76)</f>
        <v>22402460.950000003</v>
      </c>
      <c r="Y77" s="474" t="s">
        <v>191</v>
      </c>
      <c r="Z77" s="475"/>
      <c r="AA77" s="189"/>
      <c r="AB77" s="190">
        <f>SUM(AB6,AB44,AB56)</f>
        <v>0</v>
      </c>
      <c r="AC77" s="190">
        <f>SUM(AC60,AC65,AC76)</f>
        <v>1942195.54</v>
      </c>
      <c r="AD77" s="190">
        <f>SUM(AD60,AD65,AD76)</f>
        <v>24344656.490000002</v>
      </c>
      <c r="AE77" s="474" t="s">
        <v>191</v>
      </c>
      <c r="AF77" s="475"/>
      <c r="AG77" s="189"/>
      <c r="AH77" s="190">
        <f>SUM(AH6,AH44,AH56)</f>
        <v>0</v>
      </c>
      <c r="AI77" s="190">
        <f>SUM(AI60,AI65,AI76)</f>
        <v>11614767.39</v>
      </c>
      <c r="AJ77" s="190">
        <f>SUM(AJ60,AJ65,AJ76)</f>
        <v>35959423.879999995</v>
      </c>
      <c r="AK77" s="474" t="s">
        <v>191</v>
      </c>
      <c r="AL77" s="475"/>
      <c r="AM77" s="189"/>
      <c r="AN77" s="190">
        <f>SUM(AN6,AN44,AN56)</f>
        <v>0</v>
      </c>
      <c r="AO77" s="190">
        <f>SUM(AO60,AO65,AO76)</f>
        <v>3840893.5</v>
      </c>
      <c r="AP77" s="190">
        <f>SUM(AP60,AP65,AP76)</f>
        <v>39800317.38</v>
      </c>
      <c r="AQ77" s="474" t="s">
        <v>191</v>
      </c>
      <c r="AR77" s="475"/>
      <c r="AS77" s="189"/>
      <c r="AT77" s="190">
        <f>SUM(AT6,AT44,AT56)</f>
        <v>0</v>
      </c>
      <c r="AU77" s="190">
        <f>SUM(AU60,AU65,AU76)</f>
        <v>3104410.61</v>
      </c>
      <c r="AV77" s="190">
        <f>SUM(AV60,AV65,AV76)</f>
        <v>42904727.99</v>
      </c>
    </row>
    <row r="78" spans="4:24" ht="19.5" thickTop="1">
      <c r="D78" s="148"/>
      <c r="E78" s="148"/>
      <c r="F78" s="148"/>
      <c r="J78" s="148"/>
      <c r="K78" s="148"/>
      <c r="L78" s="148"/>
      <c r="O78" s="291"/>
      <c r="P78" s="148"/>
      <c r="Q78" s="148"/>
      <c r="R78" s="148"/>
      <c r="U78" s="291"/>
      <c r="V78" s="148"/>
      <c r="W78" s="148"/>
      <c r="X78" s="148"/>
    </row>
    <row r="79" spans="4:24" ht="18.75">
      <c r="D79" s="148"/>
      <c r="E79" s="148"/>
      <c r="F79" s="148"/>
      <c r="J79" s="148"/>
      <c r="K79" s="148"/>
      <c r="L79" s="148"/>
      <c r="O79" s="291"/>
      <c r="P79" s="148"/>
      <c r="Q79" s="148"/>
      <c r="R79" s="148"/>
      <c r="U79" s="291"/>
      <c r="V79" s="148"/>
      <c r="W79" s="148"/>
      <c r="X79" s="148"/>
    </row>
    <row r="80" spans="4:42" ht="18.75">
      <c r="D80" s="148"/>
      <c r="E80" s="148"/>
      <c r="F80" s="148"/>
      <c r="J80" s="148"/>
      <c r="K80" s="148"/>
      <c r="L80" s="148"/>
      <c r="AJ80" s="178">
        <f>+งบดุลบัญชี!AP115</f>
        <v>35959423.879999995</v>
      </c>
      <c r="AP80" s="178">
        <f>+งบดุลบัญชี!AV115-'หมายเหตุ1 ประกอบงบ'!AP77</f>
        <v>0</v>
      </c>
    </row>
    <row r="81" spans="12:36" ht="18.75">
      <c r="L81" s="178">
        <f>+งบดุลบัญชี!R115</f>
        <v>9379708.94</v>
      </c>
      <c r="AJ81" s="178">
        <f>+AJ80-AJ77</f>
        <v>0</v>
      </c>
    </row>
    <row r="82" spans="11:12" ht="18.75">
      <c r="K82" s="178">
        <f>+K77-งบดุลบัญชี!N115</f>
        <v>0</v>
      </c>
      <c r="L82" s="178">
        <f>+L81-L77</f>
        <v>0</v>
      </c>
    </row>
    <row r="83" spans="3:10" ht="18.75">
      <c r="C83" s="481">
        <v>30719200</v>
      </c>
      <c r="D83" s="481"/>
      <c r="I83" s="481">
        <v>30719200</v>
      </c>
      <c r="J83" s="481"/>
    </row>
    <row r="85" spans="3:9" ht="18.75">
      <c r="C85" s="151"/>
      <c r="I85" s="151">
        <f>+I83-J60</f>
        <v>-2300900</v>
      </c>
    </row>
  </sheetData>
  <sheetProtection/>
  <mergeCells count="54">
    <mergeCell ref="AQ76:AR76"/>
    <mergeCell ref="AQ77:AR77"/>
    <mergeCell ref="AQ2:AV2"/>
    <mergeCell ref="AQ3:AV3"/>
    <mergeCell ref="AQ4:AV4"/>
    <mergeCell ref="AQ5:AR5"/>
    <mergeCell ref="AQ60:AR60"/>
    <mergeCell ref="AK76:AL76"/>
    <mergeCell ref="AK77:AL77"/>
    <mergeCell ref="AK2:AP2"/>
    <mergeCell ref="AK3:AP3"/>
    <mergeCell ref="AK4:AP4"/>
    <mergeCell ref="AK5:AL5"/>
    <mergeCell ref="AK60:AL60"/>
    <mergeCell ref="S77:T77"/>
    <mergeCell ref="S2:X2"/>
    <mergeCell ref="S3:X3"/>
    <mergeCell ref="S4:X4"/>
    <mergeCell ref="S5:T5"/>
    <mergeCell ref="S76:T76"/>
    <mergeCell ref="M77:N77"/>
    <mergeCell ref="M2:R2"/>
    <mergeCell ref="M3:R3"/>
    <mergeCell ref="M4:R4"/>
    <mergeCell ref="M5:N5"/>
    <mergeCell ref="M76:N76"/>
    <mergeCell ref="C83:D83"/>
    <mergeCell ref="A2:F2"/>
    <mergeCell ref="A3:F3"/>
    <mergeCell ref="A4:F4"/>
    <mergeCell ref="A77:B77"/>
    <mergeCell ref="A76:B76"/>
    <mergeCell ref="A5:B5"/>
    <mergeCell ref="G77:H77"/>
    <mergeCell ref="I83:J83"/>
    <mergeCell ref="G2:L2"/>
    <mergeCell ref="G3:L3"/>
    <mergeCell ref="G4:L4"/>
    <mergeCell ref="G5:H5"/>
    <mergeCell ref="G76:H76"/>
    <mergeCell ref="Y77:Z77"/>
    <mergeCell ref="Y2:AD2"/>
    <mergeCell ref="Y3:AD3"/>
    <mergeCell ref="Y4:AD4"/>
    <mergeCell ref="Y5:Z5"/>
    <mergeCell ref="Y76:Z76"/>
    <mergeCell ref="Y60:Z60"/>
    <mergeCell ref="AE76:AF76"/>
    <mergeCell ref="AE77:AF77"/>
    <mergeCell ref="AE2:AJ2"/>
    <mergeCell ref="AE3:AJ3"/>
    <mergeCell ref="AE4:AJ4"/>
    <mergeCell ref="AE5:AF5"/>
    <mergeCell ref="AE60:AF60"/>
  </mergeCells>
  <printOptions/>
  <pageMargins left="0.5905511811023623" right="0.3937007874015748" top="0.5905511811023623" bottom="0.3937007874015748" header="0.6299212598425197" footer="0.4330708661417323"/>
  <pageSetup horizontalDpi="300" verticalDpi="300" orientation="portrait" paperSize="9" scale="85" r:id="rId1"/>
  <rowBreaks count="1" manualBreakCount="1">
    <brk id="41" max="47" man="1"/>
  </rowBreaks>
  <colBreaks count="1" manualBreakCount="1">
    <brk id="6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G224"/>
  <sheetViews>
    <sheetView view="pageBreakPreview" zoomScaleSheetLayoutView="100" zoomScalePageLayoutView="0" workbookViewId="0" topLeftCell="A212">
      <selection activeCell="F210" sqref="F210"/>
    </sheetView>
  </sheetViews>
  <sheetFormatPr defaultColWidth="9.140625" defaultRowHeight="12.75"/>
  <cols>
    <col min="1" max="1" width="2.8515625" style="1" customWidth="1"/>
    <col min="2" max="2" width="14.8515625" style="1" customWidth="1"/>
    <col min="3" max="3" width="15.57421875" style="1" customWidth="1"/>
    <col min="4" max="4" width="13.421875" style="1" customWidth="1"/>
    <col min="5" max="5" width="14.00390625" style="1" customWidth="1"/>
    <col min="6" max="8" width="13.8515625" style="1" customWidth="1"/>
    <col min="9" max="9" width="15.8515625" style="1" customWidth="1"/>
    <col min="10" max="10" width="10.00390625" style="1" bestFit="1" customWidth="1"/>
    <col min="11" max="16384" width="9.140625" style="1" customWidth="1"/>
  </cols>
  <sheetData>
    <row r="1" spans="1:7" ht="18.75">
      <c r="A1" s="482" t="s">
        <v>29</v>
      </c>
      <c r="B1" s="482"/>
      <c r="C1" s="482"/>
      <c r="D1" s="482"/>
      <c r="E1" s="482"/>
      <c r="F1" s="482"/>
      <c r="G1" s="482"/>
    </row>
    <row r="2" spans="1:7" ht="18.75">
      <c r="A2" s="482" t="s">
        <v>291</v>
      </c>
      <c r="B2" s="482"/>
      <c r="C2" s="482"/>
      <c r="D2" s="482"/>
      <c r="E2" s="482"/>
      <c r="F2" s="482"/>
      <c r="G2" s="482"/>
    </row>
    <row r="3" spans="1:7" ht="18.75">
      <c r="A3" s="482" t="s">
        <v>468</v>
      </c>
      <c r="B3" s="482"/>
      <c r="C3" s="482"/>
      <c r="D3" s="482"/>
      <c r="E3" s="482"/>
      <c r="F3" s="482"/>
      <c r="G3" s="482"/>
    </row>
    <row r="4" spans="1:7" ht="18.75">
      <c r="A4" s="292"/>
      <c r="B4" s="292"/>
      <c r="C4" s="292"/>
      <c r="D4" s="292"/>
      <c r="E4" s="292"/>
      <c r="F4" s="292"/>
      <c r="G4" s="292"/>
    </row>
    <row r="5" spans="1:7" ht="18.75">
      <c r="A5" s="23" t="s">
        <v>340</v>
      </c>
      <c r="B5" s="3"/>
      <c r="C5" s="3"/>
      <c r="D5" s="199" t="s">
        <v>141</v>
      </c>
      <c r="E5" s="199" t="s">
        <v>292</v>
      </c>
      <c r="F5" s="199" t="s">
        <v>293</v>
      </c>
      <c r="G5" s="199" t="s">
        <v>294</v>
      </c>
    </row>
    <row r="6" spans="2:7" ht="18.75">
      <c r="B6" s="60" t="s">
        <v>26</v>
      </c>
      <c r="D6" s="25">
        <v>26089.040000000015</v>
      </c>
      <c r="E6" s="22">
        <v>2997.3</v>
      </c>
      <c r="F6" s="22">
        <v>26089.04</v>
      </c>
      <c r="G6" s="25">
        <f>+D6+E6-F6</f>
        <v>2997.300000000014</v>
      </c>
    </row>
    <row r="7" spans="2:7" ht="18.75">
      <c r="B7" s="60" t="s">
        <v>84</v>
      </c>
      <c r="D7" s="25">
        <v>4979.770000000001</v>
      </c>
      <c r="E7" s="22"/>
      <c r="F7" s="22"/>
      <c r="G7" s="25">
        <f aca="true" t="shared" si="0" ref="G7:G17">+D7+E7-F7</f>
        <v>4979.770000000001</v>
      </c>
    </row>
    <row r="8" spans="2:7" ht="18.75">
      <c r="B8" s="60" t="s">
        <v>27</v>
      </c>
      <c r="D8" s="25">
        <v>297072</v>
      </c>
      <c r="E8" s="22">
        <v>554840</v>
      </c>
      <c r="F8" s="22">
        <v>177400</v>
      </c>
      <c r="G8" s="25">
        <f t="shared" si="0"/>
        <v>674512</v>
      </c>
    </row>
    <row r="9" spans="2:7" ht="18.75">
      <c r="B9" s="60" t="s">
        <v>85</v>
      </c>
      <c r="D9" s="25">
        <v>4650</v>
      </c>
      <c r="E9" s="22">
        <v>1050</v>
      </c>
      <c r="F9" s="22"/>
      <c r="G9" s="25">
        <f t="shared" si="0"/>
        <v>5700</v>
      </c>
    </row>
    <row r="10" spans="2:7" ht="18.75">
      <c r="B10" s="60" t="s">
        <v>86</v>
      </c>
      <c r="D10" s="25">
        <v>18801.149999999878</v>
      </c>
      <c r="E10" s="22"/>
      <c r="F10" s="22"/>
      <c r="G10" s="25">
        <f t="shared" si="0"/>
        <v>18801.149999999878</v>
      </c>
    </row>
    <row r="11" spans="2:7" ht="18.75">
      <c r="B11" s="60" t="s">
        <v>87</v>
      </c>
      <c r="D11" s="25">
        <v>14279.47</v>
      </c>
      <c r="E11" s="22">
        <v>0</v>
      </c>
      <c r="F11" s="22">
        <v>0</v>
      </c>
      <c r="G11" s="25">
        <f t="shared" si="0"/>
        <v>14279.47</v>
      </c>
    </row>
    <row r="12" spans="2:7" ht="18.75">
      <c r="B12" s="60" t="s">
        <v>317</v>
      </c>
      <c r="D12" s="25">
        <v>0</v>
      </c>
      <c r="E12" s="22">
        <v>0</v>
      </c>
      <c r="F12" s="22">
        <v>0</v>
      </c>
      <c r="G12" s="25">
        <f t="shared" si="0"/>
        <v>0</v>
      </c>
    </row>
    <row r="13" spans="2:7" ht="18.75">
      <c r="B13" s="1" t="s">
        <v>346</v>
      </c>
      <c r="D13" s="25">
        <v>0</v>
      </c>
      <c r="E13" s="22">
        <v>0</v>
      </c>
      <c r="F13" s="22">
        <v>0</v>
      </c>
      <c r="G13" s="25">
        <f t="shared" si="0"/>
        <v>0</v>
      </c>
    </row>
    <row r="14" spans="2:7" ht="18.75">
      <c r="B14" s="1" t="s">
        <v>373</v>
      </c>
      <c r="D14" s="25">
        <v>0</v>
      </c>
      <c r="E14" s="22"/>
      <c r="F14" s="22"/>
      <c r="G14" s="25">
        <f t="shared" si="0"/>
        <v>0</v>
      </c>
    </row>
    <row r="15" spans="2:7" ht="18.75">
      <c r="B15" s="1" t="s">
        <v>25</v>
      </c>
      <c r="D15" s="22">
        <v>4592</v>
      </c>
      <c r="E15" s="22"/>
      <c r="F15" s="22">
        <v>0</v>
      </c>
      <c r="G15" s="25">
        <f t="shared" si="0"/>
        <v>4592</v>
      </c>
    </row>
    <row r="16" spans="2:7" ht="18.75">
      <c r="B16" s="1" t="s">
        <v>318</v>
      </c>
      <c r="D16" s="22"/>
      <c r="E16" s="22">
        <v>2100</v>
      </c>
      <c r="F16" s="22"/>
      <c r="G16" s="25">
        <f t="shared" si="0"/>
        <v>2100</v>
      </c>
    </row>
    <row r="17" spans="2:7" ht="18.75">
      <c r="B17" s="1" t="s">
        <v>124</v>
      </c>
      <c r="D17" s="22"/>
      <c r="E17" s="22">
        <v>1500</v>
      </c>
      <c r="F17" s="22"/>
      <c r="G17" s="25">
        <f t="shared" si="0"/>
        <v>1500</v>
      </c>
    </row>
    <row r="18" spans="2:7" ht="18.75">
      <c r="B18" s="482" t="s">
        <v>17</v>
      </c>
      <c r="C18" s="483"/>
      <c r="D18" s="25">
        <f>SUM(D6:D17)</f>
        <v>370463.4299999998</v>
      </c>
      <c r="E18" s="25">
        <f>SUM(E6:E17)</f>
        <v>562487.3</v>
      </c>
      <c r="F18" s="25">
        <f>SUM(F6:F17)</f>
        <v>203489.04</v>
      </c>
      <c r="G18" s="25">
        <f>SUM(G6:G17)</f>
        <v>729461.69</v>
      </c>
    </row>
    <row r="19" ht="18.75">
      <c r="D19" s="86"/>
    </row>
    <row r="22" ht="18.75">
      <c r="A22" s="23" t="s">
        <v>341</v>
      </c>
    </row>
    <row r="23" spans="1:6" ht="18.75">
      <c r="A23" s="23"/>
      <c r="B23" s="23" t="s">
        <v>296</v>
      </c>
      <c r="F23" s="292" t="s">
        <v>24</v>
      </c>
    </row>
    <row r="24" spans="2:6" ht="18.75">
      <c r="B24" s="1" t="s">
        <v>295</v>
      </c>
      <c r="F24" s="2">
        <f>+'[3]ค้างจ่าย (4)'!$F$9</f>
        <v>50000</v>
      </c>
    </row>
    <row r="25" spans="2:6" ht="18.75">
      <c r="B25" s="1" t="s">
        <v>9</v>
      </c>
      <c r="F25" s="2">
        <f>+'[3]ค้างจ่าย (4)'!$F$17+'[3]ค้างจ่าย (4)'!$F$11</f>
        <v>66500</v>
      </c>
    </row>
    <row r="26" spans="2:6" ht="18.75">
      <c r="B26" s="1" t="s">
        <v>10</v>
      </c>
      <c r="F26" s="2">
        <f>+'[3]ค้างจ่าย (4)'!$F$20</f>
        <v>175000</v>
      </c>
    </row>
    <row r="27" ht="18.75">
      <c r="F27" s="2"/>
    </row>
    <row r="28" spans="5:6" ht="19.5" thickBot="1">
      <c r="E28" s="3" t="s">
        <v>17</v>
      </c>
      <c r="F28" s="4">
        <f>SUM(F24:F27)</f>
        <v>291500</v>
      </c>
    </row>
    <row r="29" spans="1:7" ht="19.5" thickTop="1">
      <c r="A29" s="482" t="s">
        <v>29</v>
      </c>
      <c r="B29" s="482"/>
      <c r="C29" s="482"/>
      <c r="D29" s="482"/>
      <c r="E29" s="482"/>
      <c r="F29" s="482"/>
      <c r="G29" s="482"/>
    </row>
    <row r="30" spans="1:7" ht="18.75">
      <c r="A30" s="482" t="s">
        <v>291</v>
      </c>
      <c r="B30" s="482"/>
      <c r="C30" s="482"/>
      <c r="D30" s="482"/>
      <c r="E30" s="482"/>
      <c r="F30" s="482"/>
      <c r="G30" s="482"/>
    </row>
    <row r="31" spans="1:7" ht="18.75">
      <c r="A31" s="482" t="s">
        <v>482</v>
      </c>
      <c r="B31" s="482"/>
      <c r="C31" s="482"/>
      <c r="D31" s="482"/>
      <c r="E31" s="482"/>
      <c r="F31" s="482"/>
      <c r="G31" s="482"/>
    </row>
    <row r="32" spans="1:7" ht="18.75">
      <c r="A32" s="324"/>
      <c r="B32" s="324"/>
      <c r="C32" s="324"/>
      <c r="D32" s="324"/>
      <c r="E32" s="324"/>
      <c r="F32" s="324"/>
      <c r="G32" s="324"/>
    </row>
    <row r="33" spans="1:7" ht="18.75">
      <c r="A33" s="23" t="s">
        <v>340</v>
      </c>
      <c r="B33" s="3"/>
      <c r="C33" s="3"/>
      <c r="D33" s="199" t="s">
        <v>141</v>
      </c>
      <c r="E33" s="199" t="s">
        <v>292</v>
      </c>
      <c r="F33" s="199" t="s">
        <v>293</v>
      </c>
      <c r="G33" s="199" t="s">
        <v>294</v>
      </c>
    </row>
    <row r="34" spans="2:7" ht="18.75">
      <c r="B34" s="60" t="s">
        <v>26</v>
      </c>
      <c r="D34" s="25">
        <v>2997.300000000014</v>
      </c>
      <c r="E34" s="22">
        <v>1082.81</v>
      </c>
      <c r="F34" s="22">
        <v>2997.3</v>
      </c>
      <c r="G34" s="25">
        <f aca="true" t="shared" si="1" ref="G34:G45">+D34+E34-F34</f>
        <v>1082.8100000000136</v>
      </c>
    </row>
    <row r="35" spans="2:7" ht="18.75">
      <c r="B35" s="60" t="s">
        <v>84</v>
      </c>
      <c r="D35" s="25">
        <v>4979.770000000001</v>
      </c>
      <c r="E35" s="22"/>
      <c r="F35" s="22"/>
      <c r="G35" s="25">
        <f t="shared" si="1"/>
        <v>4979.770000000001</v>
      </c>
    </row>
    <row r="36" spans="2:7" ht="18.75">
      <c r="B36" s="60" t="s">
        <v>27</v>
      </c>
      <c r="D36" s="25">
        <v>674512</v>
      </c>
      <c r="E36" s="22">
        <v>40750</v>
      </c>
      <c r="F36" s="22">
        <v>10955</v>
      </c>
      <c r="G36" s="25">
        <f t="shared" si="1"/>
        <v>704307</v>
      </c>
    </row>
    <row r="37" spans="2:7" ht="18.75">
      <c r="B37" s="60" t="s">
        <v>85</v>
      </c>
      <c r="D37" s="25">
        <v>5700</v>
      </c>
      <c r="E37" s="22">
        <v>11200</v>
      </c>
      <c r="F37" s="22"/>
      <c r="G37" s="25">
        <f t="shared" si="1"/>
        <v>16900</v>
      </c>
    </row>
    <row r="38" spans="2:7" ht="18.75">
      <c r="B38" s="60" t="s">
        <v>86</v>
      </c>
      <c r="D38" s="25">
        <v>18801.149999999878</v>
      </c>
      <c r="E38" s="22"/>
      <c r="F38" s="22"/>
      <c r="G38" s="25">
        <f t="shared" si="1"/>
        <v>18801.149999999878</v>
      </c>
    </row>
    <row r="39" spans="2:7" ht="18.75">
      <c r="B39" s="60" t="s">
        <v>87</v>
      </c>
      <c r="D39" s="25">
        <v>14279.47</v>
      </c>
      <c r="E39" s="22">
        <v>0</v>
      </c>
      <c r="F39" s="22">
        <v>14279.47</v>
      </c>
      <c r="G39" s="25">
        <f t="shared" si="1"/>
        <v>0</v>
      </c>
    </row>
    <row r="40" spans="2:7" ht="18.75">
      <c r="B40" s="60" t="s">
        <v>317</v>
      </c>
      <c r="D40" s="25">
        <v>0</v>
      </c>
      <c r="E40" s="22">
        <v>0</v>
      </c>
      <c r="F40" s="22">
        <v>0</v>
      </c>
      <c r="G40" s="25">
        <f t="shared" si="1"/>
        <v>0</v>
      </c>
    </row>
    <row r="41" spans="2:7" ht="18.75">
      <c r="B41" s="1" t="s">
        <v>346</v>
      </c>
      <c r="D41" s="25">
        <v>0</v>
      </c>
      <c r="E41" s="22">
        <v>0</v>
      </c>
      <c r="F41" s="22">
        <v>0</v>
      </c>
      <c r="G41" s="25">
        <f t="shared" si="1"/>
        <v>0</v>
      </c>
    </row>
    <row r="42" spans="2:7" ht="18.75">
      <c r="B42" s="1" t="s">
        <v>373</v>
      </c>
      <c r="D42" s="25">
        <v>0</v>
      </c>
      <c r="E42" s="22">
        <v>2099</v>
      </c>
      <c r="F42" s="22">
        <v>2099</v>
      </c>
      <c r="G42" s="25">
        <f t="shared" si="1"/>
        <v>0</v>
      </c>
    </row>
    <row r="43" spans="2:7" ht="18.75">
      <c r="B43" s="1" t="s">
        <v>25</v>
      </c>
      <c r="D43" s="22">
        <v>4592</v>
      </c>
      <c r="E43" s="22"/>
      <c r="F43" s="22">
        <v>0</v>
      </c>
      <c r="G43" s="25">
        <f t="shared" si="1"/>
        <v>4592</v>
      </c>
    </row>
    <row r="44" spans="2:7" ht="18.75">
      <c r="B44" s="1" t="s">
        <v>318</v>
      </c>
      <c r="D44" s="22">
        <v>2100</v>
      </c>
      <c r="E44" s="22"/>
      <c r="F44" s="22"/>
      <c r="G44" s="25">
        <f t="shared" si="1"/>
        <v>2100</v>
      </c>
    </row>
    <row r="45" spans="2:7" ht="18.75">
      <c r="B45" s="1" t="s">
        <v>124</v>
      </c>
      <c r="D45" s="22">
        <v>1500</v>
      </c>
      <c r="E45" s="22"/>
      <c r="F45" s="22"/>
      <c r="G45" s="25">
        <f t="shared" si="1"/>
        <v>1500</v>
      </c>
    </row>
    <row r="46" spans="2:7" ht="18.75">
      <c r="B46" s="482" t="s">
        <v>17</v>
      </c>
      <c r="C46" s="483"/>
      <c r="D46" s="25">
        <f>SUM(D34:D45)</f>
        <v>729461.69</v>
      </c>
      <c r="E46" s="25">
        <f>SUM(E34:E45)</f>
        <v>55131.81</v>
      </c>
      <c r="F46" s="25">
        <f>SUM(F34:F45)</f>
        <v>30330.769999999997</v>
      </c>
      <c r="G46" s="25">
        <f>SUM(G34:G45)</f>
        <v>754262.7299999999</v>
      </c>
    </row>
    <row r="47" ht="18.75">
      <c r="D47" s="86"/>
    </row>
    <row r="50" ht="18.75">
      <c r="A50" s="23" t="s">
        <v>341</v>
      </c>
    </row>
    <row r="51" spans="1:6" ht="18.75">
      <c r="A51" s="23"/>
      <c r="B51" s="23" t="s">
        <v>296</v>
      </c>
      <c r="F51" s="324" t="s">
        <v>24</v>
      </c>
    </row>
    <row r="52" spans="2:6" ht="18.75">
      <c r="B52" s="1" t="s">
        <v>295</v>
      </c>
      <c r="F52" s="2">
        <v>0</v>
      </c>
    </row>
    <row r="53" spans="2:6" ht="18.75">
      <c r="B53" s="1" t="s">
        <v>9</v>
      </c>
      <c r="F53" s="2">
        <f>+'[3]ค้างจ่าย (4)'!$F$12+'[3]ค้างจ่าย (4)'!$F$13+'[3]ค้างจ่าย (4)'!$F$14+'[3]ค้างจ่าย (4)'!$F$15+'[3]ค้างจ่าย (4)'!$F$16</f>
        <v>50900</v>
      </c>
    </row>
    <row r="54" spans="2:6" ht="18.75">
      <c r="B54" s="1" t="s">
        <v>10</v>
      </c>
      <c r="F54" s="2">
        <v>0</v>
      </c>
    </row>
    <row r="55" ht="18.75">
      <c r="F55" s="2"/>
    </row>
    <row r="56" spans="5:6" ht="19.5" thickBot="1">
      <c r="E56" s="3" t="s">
        <v>17</v>
      </c>
      <c r="F56" s="4">
        <f>SUM(F52:F55)</f>
        <v>50900</v>
      </c>
    </row>
    <row r="57" spans="1:7" ht="19.5" thickTop="1">
      <c r="A57" s="482" t="s">
        <v>29</v>
      </c>
      <c r="B57" s="482"/>
      <c r="C57" s="482"/>
      <c r="D57" s="482"/>
      <c r="E57" s="482"/>
      <c r="F57" s="482"/>
      <c r="G57" s="482"/>
    </row>
    <row r="58" spans="1:7" ht="18.75">
      <c r="A58" s="482" t="s">
        <v>291</v>
      </c>
      <c r="B58" s="482"/>
      <c r="C58" s="482"/>
      <c r="D58" s="482"/>
      <c r="E58" s="482"/>
      <c r="F58" s="482"/>
      <c r="G58" s="482"/>
    </row>
    <row r="59" spans="1:7" ht="18.75">
      <c r="A59" s="482" t="s">
        <v>523</v>
      </c>
      <c r="B59" s="482"/>
      <c r="C59" s="482"/>
      <c r="D59" s="482"/>
      <c r="E59" s="482"/>
      <c r="F59" s="482"/>
      <c r="G59" s="482"/>
    </row>
    <row r="60" spans="1:7" ht="18.75">
      <c r="A60" s="329"/>
      <c r="B60" s="329"/>
      <c r="C60" s="329"/>
      <c r="D60" s="329"/>
      <c r="E60" s="329"/>
      <c r="F60" s="329"/>
      <c r="G60" s="329"/>
    </row>
    <row r="61" spans="1:7" ht="18.75">
      <c r="A61" s="23" t="s">
        <v>340</v>
      </c>
      <c r="B61" s="3"/>
      <c r="C61" s="3"/>
      <c r="D61" s="199" t="s">
        <v>141</v>
      </c>
      <c r="E61" s="199" t="s">
        <v>292</v>
      </c>
      <c r="F61" s="199" t="s">
        <v>293</v>
      </c>
      <c r="G61" s="199" t="s">
        <v>294</v>
      </c>
    </row>
    <row r="62" spans="2:7" ht="18.75">
      <c r="B62" s="60" t="s">
        <v>26</v>
      </c>
      <c r="D62" s="25">
        <v>1082.8100000000136</v>
      </c>
      <c r="E62" s="22">
        <v>6686.14</v>
      </c>
      <c r="F62" s="22">
        <v>1082.81</v>
      </c>
      <c r="G62" s="25">
        <f aca="true" t="shared" si="2" ref="G62:G73">+D62+E62-F62</f>
        <v>6686.140000000014</v>
      </c>
    </row>
    <row r="63" spans="2:7" ht="18.75">
      <c r="B63" s="60" t="s">
        <v>84</v>
      </c>
      <c r="D63" s="25">
        <v>4979.770000000001</v>
      </c>
      <c r="E63" s="22"/>
      <c r="F63" s="22"/>
      <c r="G63" s="25">
        <f t="shared" si="2"/>
        <v>4979.770000000001</v>
      </c>
    </row>
    <row r="64" spans="2:7" ht="18.75">
      <c r="B64" s="60" t="s">
        <v>27</v>
      </c>
      <c r="D64" s="25">
        <v>704307</v>
      </c>
      <c r="E64" s="22">
        <v>243965</v>
      </c>
      <c r="F64" s="22">
        <v>245927</v>
      </c>
      <c r="G64" s="25">
        <f t="shared" si="2"/>
        <v>702345</v>
      </c>
    </row>
    <row r="65" spans="2:7" ht="18.75">
      <c r="B65" s="60" t="s">
        <v>85</v>
      </c>
      <c r="D65" s="25">
        <v>16900</v>
      </c>
      <c r="E65" s="22">
        <v>1400</v>
      </c>
      <c r="F65" s="22"/>
      <c r="G65" s="25">
        <f t="shared" si="2"/>
        <v>18300</v>
      </c>
    </row>
    <row r="66" spans="2:7" ht="18.75">
      <c r="B66" s="60" t="s">
        <v>86</v>
      </c>
      <c r="D66" s="25">
        <v>18801.149999999878</v>
      </c>
      <c r="E66" s="22"/>
      <c r="F66" s="22"/>
      <c r="G66" s="25">
        <f t="shared" si="2"/>
        <v>18801.149999999878</v>
      </c>
    </row>
    <row r="67" spans="2:7" ht="18.75">
      <c r="B67" s="60" t="s">
        <v>87</v>
      </c>
      <c r="D67" s="25">
        <v>0</v>
      </c>
      <c r="E67" s="22">
        <v>0</v>
      </c>
      <c r="F67" s="22"/>
      <c r="G67" s="25">
        <f t="shared" si="2"/>
        <v>0</v>
      </c>
    </row>
    <row r="68" spans="2:7" ht="18.75">
      <c r="B68" s="60" t="s">
        <v>317</v>
      </c>
      <c r="D68" s="25">
        <v>0</v>
      </c>
      <c r="E68" s="22">
        <v>0</v>
      </c>
      <c r="F68" s="22">
        <v>0</v>
      </c>
      <c r="G68" s="25">
        <f t="shared" si="2"/>
        <v>0</v>
      </c>
    </row>
    <row r="69" spans="2:7" ht="18.75">
      <c r="B69" s="1" t="s">
        <v>346</v>
      </c>
      <c r="D69" s="25">
        <v>0</v>
      </c>
      <c r="E69" s="22">
        <v>0</v>
      </c>
      <c r="F69" s="22">
        <v>0</v>
      </c>
      <c r="G69" s="25">
        <f t="shared" si="2"/>
        <v>0</v>
      </c>
    </row>
    <row r="70" spans="2:7" ht="18.75">
      <c r="B70" s="1" t="s">
        <v>373</v>
      </c>
      <c r="D70" s="25">
        <v>0</v>
      </c>
      <c r="E70" s="22">
        <v>7860</v>
      </c>
      <c r="F70" s="22">
        <v>776</v>
      </c>
      <c r="G70" s="25">
        <f t="shared" si="2"/>
        <v>7084</v>
      </c>
    </row>
    <row r="71" spans="2:7" ht="18.75">
      <c r="B71" s="1" t="s">
        <v>25</v>
      </c>
      <c r="D71" s="22">
        <v>4592</v>
      </c>
      <c r="E71" s="22"/>
      <c r="F71" s="22">
        <v>4592</v>
      </c>
      <c r="G71" s="25">
        <f t="shared" si="2"/>
        <v>0</v>
      </c>
    </row>
    <row r="72" spans="2:7" ht="18.75">
      <c r="B72" s="1" t="s">
        <v>318</v>
      </c>
      <c r="D72" s="22">
        <v>2100</v>
      </c>
      <c r="E72" s="22">
        <v>10000</v>
      </c>
      <c r="F72" s="22">
        <v>2100</v>
      </c>
      <c r="G72" s="25">
        <f t="shared" si="2"/>
        <v>10000</v>
      </c>
    </row>
    <row r="73" spans="2:7" ht="18.75">
      <c r="B73" s="1" t="s">
        <v>124</v>
      </c>
      <c r="D73" s="22">
        <v>1500</v>
      </c>
      <c r="E73" s="22"/>
      <c r="F73" s="22">
        <v>1500</v>
      </c>
      <c r="G73" s="25">
        <f t="shared" si="2"/>
        <v>0</v>
      </c>
    </row>
    <row r="74" spans="2:7" ht="18.75">
      <c r="B74" s="482" t="s">
        <v>17</v>
      </c>
      <c r="C74" s="483"/>
      <c r="D74" s="25">
        <f>SUM(D62:D73)</f>
        <v>754262.7299999999</v>
      </c>
      <c r="E74" s="25">
        <f>SUM(E62:E73)</f>
        <v>269911.14</v>
      </c>
      <c r="F74" s="25">
        <f>SUM(F62:F73)</f>
        <v>255977.81</v>
      </c>
      <c r="G74" s="25">
        <f>SUM(G62:G73)</f>
        <v>768196.0599999999</v>
      </c>
    </row>
    <row r="75" ht="18.75">
      <c r="D75" s="86"/>
    </row>
    <row r="78" ht="18.75">
      <c r="A78" s="23" t="s">
        <v>341</v>
      </c>
    </row>
    <row r="79" spans="1:6" ht="18.75">
      <c r="A79" s="23"/>
      <c r="B79" s="23" t="s">
        <v>296</v>
      </c>
      <c r="F79" s="329" t="s">
        <v>24</v>
      </c>
    </row>
    <row r="80" spans="2:6" ht="18.75">
      <c r="B80" s="1" t="s">
        <v>295</v>
      </c>
      <c r="F80" s="2">
        <v>0</v>
      </c>
    </row>
    <row r="81" spans="2:6" ht="18.75">
      <c r="B81" s="1" t="s">
        <v>9</v>
      </c>
      <c r="F81" s="2">
        <v>0</v>
      </c>
    </row>
    <row r="82" spans="2:6" ht="18.75">
      <c r="B82" s="1" t="s">
        <v>10</v>
      </c>
      <c r="F82" s="2">
        <f>210000+142444+33400</f>
        <v>385844</v>
      </c>
    </row>
    <row r="83" ht="18.75">
      <c r="F83" s="2"/>
    </row>
    <row r="84" spans="5:6" ht="19.5" thickBot="1">
      <c r="E84" s="3" t="s">
        <v>17</v>
      </c>
      <c r="F84" s="4">
        <f>SUM(F80:F83)</f>
        <v>385844</v>
      </c>
    </row>
    <row r="85" spans="1:7" ht="19.5" thickTop="1">
      <c r="A85" s="482" t="s">
        <v>29</v>
      </c>
      <c r="B85" s="482"/>
      <c r="C85" s="482"/>
      <c r="D85" s="482"/>
      <c r="E85" s="482"/>
      <c r="F85" s="482"/>
      <c r="G85" s="482"/>
    </row>
    <row r="86" spans="1:7" ht="18.75">
      <c r="A86" s="482" t="s">
        <v>291</v>
      </c>
      <c r="B86" s="482"/>
      <c r="C86" s="482"/>
      <c r="D86" s="482"/>
      <c r="E86" s="482"/>
      <c r="F86" s="482"/>
      <c r="G86" s="482"/>
    </row>
    <row r="87" spans="1:7" ht="18.75">
      <c r="A87" s="482" t="s">
        <v>528</v>
      </c>
      <c r="B87" s="482"/>
      <c r="C87" s="482"/>
      <c r="D87" s="482"/>
      <c r="E87" s="482"/>
      <c r="F87" s="482"/>
      <c r="G87" s="482"/>
    </row>
    <row r="88" spans="1:7" ht="18.75">
      <c r="A88" s="343"/>
      <c r="B88" s="343"/>
      <c r="C88" s="343"/>
      <c r="D88" s="343"/>
      <c r="E88" s="343"/>
      <c r="F88" s="343"/>
      <c r="G88" s="343"/>
    </row>
    <row r="89" spans="1:7" ht="18.75">
      <c r="A89" s="23" t="s">
        <v>340</v>
      </c>
      <c r="B89" s="3"/>
      <c r="C89" s="3"/>
      <c r="D89" s="199" t="s">
        <v>141</v>
      </c>
      <c r="E89" s="199" t="s">
        <v>292</v>
      </c>
      <c r="F89" s="199" t="s">
        <v>293</v>
      </c>
      <c r="G89" s="199" t="s">
        <v>294</v>
      </c>
    </row>
    <row r="90" spans="2:7" ht="18.75">
      <c r="B90" s="60" t="s">
        <v>26</v>
      </c>
      <c r="D90" s="25">
        <f>+G62</f>
        <v>6686.140000000014</v>
      </c>
      <c r="E90" s="22">
        <v>10889.1</v>
      </c>
      <c r="F90" s="22">
        <v>6686.14</v>
      </c>
      <c r="G90" s="25">
        <f aca="true" t="shared" si="3" ref="G90:G101">+D90+E90-F90</f>
        <v>10889.100000000013</v>
      </c>
    </row>
    <row r="91" spans="2:7" ht="18.75">
      <c r="B91" s="60" t="s">
        <v>84</v>
      </c>
      <c r="D91" s="25">
        <f aca="true" t="shared" si="4" ref="D91:D101">+G63</f>
        <v>4979.770000000001</v>
      </c>
      <c r="E91" s="22">
        <v>18.38</v>
      </c>
      <c r="F91" s="22">
        <v>0</v>
      </c>
      <c r="G91" s="25">
        <f t="shared" si="3"/>
        <v>4998.1500000000015</v>
      </c>
    </row>
    <row r="92" spans="2:7" ht="18.75">
      <c r="B92" s="60" t="s">
        <v>27</v>
      </c>
      <c r="D92" s="25">
        <f t="shared" si="4"/>
        <v>702345</v>
      </c>
      <c r="E92" s="22">
        <v>257998</v>
      </c>
      <c r="F92" s="22">
        <v>100</v>
      </c>
      <c r="G92" s="25">
        <f t="shared" si="3"/>
        <v>960243</v>
      </c>
    </row>
    <row r="93" spans="2:7" ht="18.75">
      <c r="B93" s="60" t="s">
        <v>85</v>
      </c>
      <c r="D93" s="25">
        <f t="shared" si="4"/>
        <v>18300</v>
      </c>
      <c r="E93" s="22">
        <v>0</v>
      </c>
      <c r="F93" s="22">
        <v>0</v>
      </c>
      <c r="G93" s="25">
        <f t="shared" si="3"/>
        <v>18300</v>
      </c>
    </row>
    <row r="94" spans="2:7" ht="18.75">
      <c r="B94" s="60" t="s">
        <v>86</v>
      </c>
      <c r="D94" s="25">
        <f t="shared" si="4"/>
        <v>18801.149999999878</v>
      </c>
      <c r="E94" s="22">
        <v>4915</v>
      </c>
      <c r="F94" s="22">
        <v>0</v>
      </c>
      <c r="G94" s="25">
        <f t="shared" si="3"/>
        <v>23716.149999999878</v>
      </c>
    </row>
    <row r="95" spans="2:7" ht="18.75">
      <c r="B95" s="60" t="s">
        <v>87</v>
      </c>
      <c r="D95" s="25">
        <f t="shared" si="4"/>
        <v>0</v>
      </c>
      <c r="E95" s="22">
        <v>0</v>
      </c>
      <c r="F95" s="22">
        <v>0</v>
      </c>
      <c r="G95" s="25">
        <f t="shared" si="3"/>
        <v>0</v>
      </c>
    </row>
    <row r="96" spans="2:7" ht="18.75">
      <c r="B96" s="60" t="s">
        <v>317</v>
      </c>
      <c r="D96" s="25">
        <f t="shared" si="4"/>
        <v>0</v>
      </c>
      <c r="E96" s="22">
        <v>0</v>
      </c>
      <c r="F96" s="22">
        <v>0</v>
      </c>
      <c r="G96" s="25">
        <f t="shared" si="3"/>
        <v>0</v>
      </c>
    </row>
    <row r="97" spans="2:7" ht="18.75">
      <c r="B97" s="1" t="s">
        <v>346</v>
      </c>
      <c r="D97" s="25">
        <f t="shared" si="4"/>
        <v>0</v>
      </c>
      <c r="E97" s="22">
        <v>0</v>
      </c>
      <c r="F97" s="22">
        <v>0</v>
      </c>
      <c r="G97" s="25">
        <f t="shared" si="3"/>
        <v>0</v>
      </c>
    </row>
    <row r="98" spans="2:7" ht="18.75">
      <c r="B98" s="1" t="s">
        <v>373</v>
      </c>
      <c r="D98" s="25">
        <f t="shared" si="4"/>
        <v>7084</v>
      </c>
      <c r="E98" s="22">
        <v>627</v>
      </c>
      <c r="F98" s="22">
        <v>7084</v>
      </c>
      <c r="G98" s="25">
        <f t="shared" si="3"/>
        <v>627</v>
      </c>
    </row>
    <row r="99" spans="2:7" ht="18.75">
      <c r="B99" s="1" t="s">
        <v>25</v>
      </c>
      <c r="D99" s="25">
        <f t="shared" si="4"/>
        <v>0</v>
      </c>
      <c r="E99" s="22">
        <v>0</v>
      </c>
      <c r="F99" s="22">
        <v>0</v>
      </c>
      <c r="G99" s="25">
        <f t="shared" si="3"/>
        <v>0</v>
      </c>
    </row>
    <row r="100" spans="2:7" ht="18.75">
      <c r="B100" s="1" t="s">
        <v>318</v>
      </c>
      <c r="D100" s="25">
        <f t="shared" si="4"/>
        <v>10000</v>
      </c>
      <c r="E100" s="22">
        <v>8600</v>
      </c>
      <c r="F100" s="22">
        <v>0</v>
      </c>
      <c r="G100" s="25">
        <f t="shared" si="3"/>
        <v>18600</v>
      </c>
    </row>
    <row r="101" spans="2:7" ht="18.75">
      <c r="B101" s="1" t="s">
        <v>124</v>
      </c>
      <c r="D101" s="25">
        <f t="shared" si="4"/>
        <v>0</v>
      </c>
      <c r="E101" s="22">
        <v>0</v>
      </c>
      <c r="F101" s="22">
        <v>0</v>
      </c>
      <c r="G101" s="25">
        <f t="shared" si="3"/>
        <v>0</v>
      </c>
    </row>
    <row r="102" spans="2:7" ht="18.75">
      <c r="B102" s="482" t="s">
        <v>17</v>
      </c>
      <c r="C102" s="483"/>
      <c r="D102" s="25">
        <f>SUM(D90:D101)</f>
        <v>768196.0599999999</v>
      </c>
      <c r="E102" s="25">
        <f>SUM(E90:E101)</f>
        <v>283047.48</v>
      </c>
      <c r="F102" s="25">
        <f>SUM(F90:F101)</f>
        <v>13870.14</v>
      </c>
      <c r="G102" s="25">
        <f>SUM(G90:G101)</f>
        <v>1037373.3999999999</v>
      </c>
    </row>
    <row r="103" ht="18.75">
      <c r="D103" s="86"/>
    </row>
    <row r="106" ht="18.75">
      <c r="A106" s="23" t="s">
        <v>341</v>
      </c>
    </row>
    <row r="107" spans="1:6" ht="18.75">
      <c r="A107" s="23"/>
      <c r="B107" s="23" t="s">
        <v>296</v>
      </c>
      <c r="F107" s="343" t="s">
        <v>24</v>
      </c>
    </row>
    <row r="108" spans="2:6" ht="18.75">
      <c r="B108" s="1" t="s">
        <v>295</v>
      </c>
      <c r="F108" s="2">
        <v>0</v>
      </c>
    </row>
    <row r="109" spans="2:6" ht="18.75">
      <c r="B109" s="1" t="s">
        <v>9</v>
      </c>
      <c r="F109" s="2">
        <v>0</v>
      </c>
    </row>
    <row r="110" spans="2:6" ht="18.75">
      <c r="B110" s="1" t="s">
        <v>10</v>
      </c>
      <c r="F110" s="2">
        <v>324000</v>
      </c>
    </row>
    <row r="111" ht="18.75">
      <c r="F111" s="2"/>
    </row>
    <row r="112" spans="5:6" ht="19.5" thickBot="1">
      <c r="E112" s="3" t="s">
        <v>17</v>
      </c>
      <c r="F112" s="4">
        <f>SUM(F108:F111)</f>
        <v>324000</v>
      </c>
    </row>
    <row r="113" spans="1:7" ht="19.5" thickTop="1">
      <c r="A113" s="482" t="s">
        <v>29</v>
      </c>
      <c r="B113" s="482"/>
      <c r="C113" s="482"/>
      <c r="D113" s="482"/>
      <c r="E113" s="482"/>
      <c r="F113" s="482"/>
      <c r="G113" s="482"/>
    </row>
    <row r="114" spans="1:7" ht="18.75">
      <c r="A114" s="482" t="s">
        <v>291</v>
      </c>
      <c r="B114" s="482"/>
      <c r="C114" s="482"/>
      <c r="D114" s="482"/>
      <c r="E114" s="482"/>
      <c r="F114" s="482"/>
      <c r="G114" s="482"/>
    </row>
    <row r="115" spans="1:7" ht="18.75">
      <c r="A115" s="482" t="s">
        <v>551</v>
      </c>
      <c r="B115" s="482"/>
      <c r="C115" s="482"/>
      <c r="D115" s="482"/>
      <c r="E115" s="482"/>
      <c r="F115" s="482"/>
      <c r="G115" s="482"/>
    </row>
    <row r="116" spans="1:7" ht="18.75">
      <c r="A116" s="362"/>
      <c r="B116" s="362"/>
      <c r="C116" s="362"/>
      <c r="D116" s="362"/>
      <c r="E116" s="362"/>
      <c r="F116" s="362"/>
      <c r="G116" s="362"/>
    </row>
    <row r="117" spans="1:7" ht="18.75">
      <c r="A117" s="23" t="s">
        <v>340</v>
      </c>
      <c r="B117" s="3"/>
      <c r="C117" s="3"/>
      <c r="D117" s="199" t="s">
        <v>141</v>
      </c>
      <c r="E117" s="199" t="s">
        <v>292</v>
      </c>
      <c r="F117" s="199" t="s">
        <v>293</v>
      </c>
      <c r="G117" s="199" t="s">
        <v>294</v>
      </c>
    </row>
    <row r="118" spans="2:7" ht="18.75">
      <c r="B118" s="60" t="s">
        <v>26</v>
      </c>
      <c r="D118" s="25">
        <f>+G90</f>
        <v>10889.100000000013</v>
      </c>
      <c r="E118" s="22">
        <v>1394.01</v>
      </c>
      <c r="F118" s="22">
        <v>10889.1</v>
      </c>
      <c r="G118" s="25">
        <f aca="true" t="shared" si="5" ref="G118:G129">+D118+E118-F118</f>
        <v>1394.010000000013</v>
      </c>
    </row>
    <row r="119" spans="2:7" ht="18.75">
      <c r="B119" s="60" t="s">
        <v>84</v>
      </c>
      <c r="D119" s="25">
        <f aca="true" t="shared" si="6" ref="D119:D129">+G91</f>
        <v>4998.1500000000015</v>
      </c>
      <c r="E119" s="22">
        <v>84.43</v>
      </c>
      <c r="F119" s="22"/>
      <c r="G119" s="25">
        <f t="shared" si="5"/>
        <v>5082.580000000002</v>
      </c>
    </row>
    <row r="120" spans="2:7" ht="18.75">
      <c r="B120" s="60" t="s">
        <v>27</v>
      </c>
      <c r="D120" s="25">
        <f t="shared" si="6"/>
        <v>960243</v>
      </c>
      <c r="E120" s="22">
        <v>336075</v>
      </c>
      <c r="F120" s="22">
        <v>157245</v>
      </c>
      <c r="G120" s="25">
        <f t="shared" si="5"/>
        <v>1139073</v>
      </c>
    </row>
    <row r="121" spans="2:7" ht="18.75">
      <c r="B121" s="60" t="s">
        <v>85</v>
      </c>
      <c r="D121" s="25">
        <f t="shared" si="6"/>
        <v>18300</v>
      </c>
      <c r="E121" s="22">
        <v>0</v>
      </c>
      <c r="F121" s="22">
        <v>0</v>
      </c>
      <c r="G121" s="25">
        <f t="shared" si="5"/>
        <v>18300</v>
      </c>
    </row>
    <row r="122" spans="2:7" ht="18.75">
      <c r="B122" s="60" t="s">
        <v>86</v>
      </c>
      <c r="D122" s="25">
        <f t="shared" si="6"/>
        <v>23716.149999999878</v>
      </c>
      <c r="E122" s="22">
        <v>0</v>
      </c>
      <c r="F122" s="22">
        <v>0</v>
      </c>
      <c r="G122" s="25">
        <f t="shared" si="5"/>
        <v>23716.149999999878</v>
      </c>
    </row>
    <row r="123" spans="2:7" ht="18.75">
      <c r="B123" s="60" t="s">
        <v>87</v>
      </c>
      <c r="D123" s="25">
        <f t="shared" si="6"/>
        <v>0</v>
      </c>
      <c r="E123" s="22">
        <v>0</v>
      </c>
      <c r="F123" s="22">
        <v>0</v>
      </c>
      <c r="G123" s="25">
        <f t="shared" si="5"/>
        <v>0</v>
      </c>
    </row>
    <row r="124" spans="2:7" ht="18.75">
      <c r="B124" s="60" t="s">
        <v>317</v>
      </c>
      <c r="D124" s="25">
        <f t="shared" si="6"/>
        <v>0</v>
      </c>
      <c r="E124" s="22">
        <v>27699.75</v>
      </c>
      <c r="F124" s="22">
        <v>27699.75</v>
      </c>
      <c r="G124" s="25">
        <f t="shared" si="5"/>
        <v>0</v>
      </c>
    </row>
    <row r="125" spans="2:7" ht="18.75">
      <c r="B125" s="1" t="s">
        <v>346</v>
      </c>
      <c r="D125" s="25">
        <f t="shared" si="6"/>
        <v>0</v>
      </c>
      <c r="E125" s="22">
        <v>0</v>
      </c>
      <c r="F125" s="22">
        <v>0</v>
      </c>
      <c r="G125" s="25">
        <f t="shared" si="5"/>
        <v>0</v>
      </c>
    </row>
    <row r="126" spans="2:7" ht="18.75">
      <c r="B126" s="1" t="s">
        <v>373</v>
      </c>
      <c r="D126" s="25">
        <f t="shared" si="6"/>
        <v>627</v>
      </c>
      <c r="E126" s="22">
        <v>0</v>
      </c>
      <c r="F126" s="22">
        <v>627</v>
      </c>
      <c r="G126" s="25">
        <f t="shared" si="5"/>
        <v>0</v>
      </c>
    </row>
    <row r="127" spans="2:7" ht="18.75">
      <c r="B127" s="1" t="s">
        <v>25</v>
      </c>
      <c r="D127" s="25">
        <f t="shared" si="6"/>
        <v>0</v>
      </c>
      <c r="E127" s="22">
        <v>0</v>
      </c>
      <c r="F127" s="22">
        <v>0</v>
      </c>
      <c r="G127" s="25">
        <f t="shared" si="5"/>
        <v>0</v>
      </c>
    </row>
    <row r="128" spans="2:7" ht="18.75">
      <c r="B128" s="1" t="s">
        <v>318</v>
      </c>
      <c r="D128" s="25">
        <f t="shared" si="6"/>
        <v>18600</v>
      </c>
      <c r="E128" s="22">
        <v>0</v>
      </c>
      <c r="F128" s="22">
        <v>18600</v>
      </c>
      <c r="G128" s="25">
        <f t="shared" si="5"/>
        <v>0</v>
      </c>
    </row>
    <row r="129" spans="2:7" ht="18.75">
      <c r="B129" s="1" t="s">
        <v>124</v>
      </c>
      <c r="D129" s="25">
        <f t="shared" si="6"/>
        <v>0</v>
      </c>
      <c r="E129" s="22">
        <v>0</v>
      </c>
      <c r="F129" s="22">
        <v>0</v>
      </c>
      <c r="G129" s="25">
        <f t="shared" si="5"/>
        <v>0</v>
      </c>
    </row>
    <row r="130" spans="2:7" ht="18.75">
      <c r="B130" s="482" t="s">
        <v>17</v>
      </c>
      <c r="C130" s="483"/>
      <c r="D130" s="25">
        <f>SUM(D118:D129)</f>
        <v>1037373.3999999999</v>
      </c>
      <c r="E130" s="25">
        <f>SUM(E118:E129)</f>
        <v>365253.19</v>
      </c>
      <c r="F130" s="25">
        <f>SUM(F118:F129)</f>
        <v>215060.85</v>
      </c>
      <c r="G130" s="25">
        <f>SUM(G118:G129)</f>
        <v>1187565.74</v>
      </c>
    </row>
    <row r="131" ht="18.75">
      <c r="D131" s="86"/>
    </row>
    <row r="134" ht="18.75">
      <c r="A134" s="23" t="s">
        <v>341</v>
      </c>
    </row>
    <row r="135" spans="1:6" ht="18.75">
      <c r="A135" s="23"/>
      <c r="B135" s="23" t="s">
        <v>296</v>
      </c>
      <c r="F135" s="362" t="s">
        <v>24</v>
      </c>
    </row>
    <row r="136" spans="2:6" ht="18.75">
      <c r="B136" s="1" t="s">
        <v>295</v>
      </c>
      <c r="F136" s="2">
        <v>0</v>
      </c>
    </row>
    <row r="137" spans="2:6" ht="18.75">
      <c r="B137" s="1" t="s">
        <v>9</v>
      </c>
      <c r="F137" s="2">
        <v>0</v>
      </c>
    </row>
    <row r="138" spans="2:6" ht="18.75">
      <c r="B138" s="1" t="s">
        <v>10</v>
      </c>
      <c r="F138" s="2">
        <v>0</v>
      </c>
    </row>
    <row r="139" ht="18.75">
      <c r="F139" s="2"/>
    </row>
    <row r="140" spans="5:6" ht="19.5" thickBot="1">
      <c r="E140" s="3" t="s">
        <v>17</v>
      </c>
      <c r="F140" s="4">
        <f>SUM(F136:F139)</f>
        <v>0</v>
      </c>
    </row>
    <row r="141" spans="1:7" ht="19.5" thickTop="1">
      <c r="A141" s="482" t="s">
        <v>29</v>
      </c>
      <c r="B141" s="482"/>
      <c r="C141" s="482"/>
      <c r="D141" s="482"/>
      <c r="E141" s="482"/>
      <c r="F141" s="482"/>
      <c r="G141" s="482"/>
    </row>
    <row r="142" spans="1:7" ht="18.75">
      <c r="A142" s="482" t="s">
        <v>291</v>
      </c>
      <c r="B142" s="482"/>
      <c r="C142" s="482"/>
      <c r="D142" s="482"/>
      <c r="E142" s="482"/>
      <c r="F142" s="482"/>
      <c r="G142" s="482"/>
    </row>
    <row r="143" spans="1:7" ht="18.75">
      <c r="A143" s="482" t="s">
        <v>562</v>
      </c>
      <c r="B143" s="482"/>
      <c r="C143" s="482"/>
      <c r="D143" s="482"/>
      <c r="E143" s="482"/>
      <c r="F143" s="482"/>
      <c r="G143" s="482"/>
    </row>
    <row r="144" spans="1:7" ht="18.75">
      <c r="A144" s="382"/>
      <c r="B144" s="382"/>
      <c r="C144" s="382"/>
      <c r="D144" s="382"/>
      <c r="E144" s="382"/>
      <c r="F144" s="382"/>
      <c r="G144" s="382"/>
    </row>
    <row r="145" spans="1:7" ht="18.75">
      <c r="A145" s="23" t="s">
        <v>340</v>
      </c>
      <c r="B145" s="3"/>
      <c r="C145" s="3"/>
      <c r="D145" s="199" t="s">
        <v>141</v>
      </c>
      <c r="E145" s="199" t="s">
        <v>292</v>
      </c>
      <c r="F145" s="199" t="s">
        <v>293</v>
      </c>
      <c r="G145" s="199" t="s">
        <v>294</v>
      </c>
    </row>
    <row r="146" spans="2:7" ht="18.75">
      <c r="B146" s="60" t="s">
        <v>26</v>
      </c>
      <c r="D146" s="25">
        <f>+G118</f>
        <v>1394.010000000013</v>
      </c>
      <c r="E146" s="22">
        <v>56311.03</v>
      </c>
      <c r="F146" s="22">
        <v>1394.01</v>
      </c>
      <c r="G146" s="25">
        <f aca="true" t="shared" si="7" ref="G146:G157">+D146+E146-F146</f>
        <v>56311.030000000006</v>
      </c>
    </row>
    <row r="147" spans="2:7" ht="18.75">
      <c r="B147" s="60" t="s">
        <v>84</v>
      </c>
      <c r="D147" s="25">
        <f aca="true" t="shared" si="8" ref="D147:D157">+G119</f>
        <v>5082.580000000002</v>
      </c>
      <c r="E147" s="22">
        <v>253.17</v>
      </c>
      <c r="F147" s="22">
        <v>0</v>
      </c>
      <c r="G147" s="25">
        <f t="shared" si="7"/>
        <v>5335.750000000002</v>
      </c>
    </row>
    <row r="148" spans="2:7" ht="18.75">
      <c r="B148" s="60" t="s">
        <v>27</v>
      </c>
      <c r="D148" s="25">
        <f t="shared" si="8"/>
        <v>1139073</v>
      </c>
      <c r="E148" s="22">
        <v>190408</v>
      </c>
      <c r="F148" s="22">
        <v>245000</v>
      </c>
      <c r="G148" s="25">
        <f t="shared" si="7"/>
        <v>1084481</v>
      </c>
    </row>
    <row r="149" spans="2:7" ht="18.75">
      <c r="B149" s="60" t="s">
        <v>85</v>
      </c>
      <c r="D149" s="25">
        <f t="shared" si="8"/>
        <v>18300</v>
      </c>
      <c r="E149" s="22">
        <v>9800</v>
      </c>
      <c r="F149" s="22">
        <v>0</v>
      </c>
      <c r="G149" s="25">
        <f t="shared" si="7"/>
        <v>28100</v>
      </c>
    </row>
    <row r="150" spans="2:7" ht="18.75">
      <c r="B150" s="60" t="s">
        <v>86</v>
      </c>
      <c r="D150" s="25">
        <f t="shared" si="8"/>
        <v>23716.149999999878</v>
      </c>
      <c r="E150" s="22">
        <v>50.91</v>
      </c>
      <c r="F150" s="22">
        <v>0</v>
      </c>
      <c r="G150" s="25">
        <f t="shared" si="7"/>
        <v>23767.059999999878</v>
      </c>
    </row>
    <row r="151" spans="2:7" ht="18.75">
      <c r="B151" s="60" t="s">
        <v>87</v>
      </c>
      <c r="D151" s="25">
        <f t="shared" si="8"/>
        <v>0</v>
      </c>
      <c r="E151" s="22">
        <v>0</v>
      </c>
      <c r="F151" s="22">
        <v>0</v>
      </c>
      <c r="G151" s="25">
        <f t="shared" si="7"/>
        <v>0</v>
      </c>
    </row>
    <row r="152" spans="2:7" ht="18.75">
      <c r="B152" s="60" t="s">
        <v>317</v>
      </c>
      <c r="D152" s="25">
        <f t="shared" si="8"/>
        <v>0</v>
      </c>
      <c r="E152" s="22"/>
      <c r="F152" s="22"/>
      <c r="G152" s="25">
        <f t="shared" si="7"/>
        <v>0</v>
      </c>
    </row>
    <row r="153" spans="2:7" ht="18.75">
      <c r="B153" s="1" t="s">
        <v>346</v>
      </c>
      <c r="D153" s="25">
        <f t="shared" si="8"/>
        <v>0</v>
      </c>
      <c r="E153" s="22">
        <v>0</v>
      </c>
      <c r="F153" s="22">
        <v>0</v>
      </c>
      <c r="G153" s="25">
        <f t="shared" si="7"/>
        <v>0</v>
      </c>
    </row>
    <row r="154" spans="2:7" ht="18.75">
      <c r="B154" s="1" t="s">
        <v>373</v>
      </c>
      <c r="D154" s="25">
        <f t="shared" si="8"/>
        <v>0</v>
      </c>
      <c r="E154" s="22">
        <v>2632</v>
      </c>
      <c r="F154" s="22">
        <v>2312</v>
      </c>
      <c r="G154" s="25">
        <f t="shared" si="7"/>
        <v>320</v>
      </c>
    </row>
    <row r="155" spans="2:7" ht="18.75">
      <c r="B155" s="1" t="s">
        <v>25</v>
      </c>
      <c r="D155" s="25">
        <f t="shared" si="8"/>
        <v>0</v>
      </c>
      <c r="E155" s="22">
        <v>11880</v>
      </c>
      <c r="F155" s="22">
        <v>0</v>
      </c>
      <c r="G155" s="25">
        <f t="shared" si="7"/>
        <v>11880</v>
      </c>
    </row>
    <row r="156" spans="2:7" ht="18.75">
      <c r="B156" s="1" t="s">
        <v>318</v>
      </c>
      <c r="D156" s="25">
        <f t="shared" si="8"/>
        <v>0</v>
      </c>
      <c r="E156" s="22">
        <v>0</v>
      </c>
      <c r="F156" s="22">
        <v>0</v>
      </c>
      <c r="G156" s="25">
        <f t="shared" si="7"/>
        <v>0</v>
      </c>
    </row>
    <row r="157" spans="2:7" ht="18.75">
      <c r="B157" s="1" t="s">
        <v>124</v>
      </c>
      <c r="D157" s="25">
        <f t="shared" si="8"/>
        <v>0</v>
      </c>
      <c r="E157" s="22">
        <v>0</v>
      </c>
      <c r="F157" s="22">
        <v>0</v>
      </c>
      <c r="G157" s="25">
        <f t="shared" si="7"/>
        <v>0</v>
      </c>
    </row>
    <row r="158" spans="2:7" ht="18.75">
      <c r="B158" s="482" t="s">
        <v>17</v>
      </c>
      <c r="C158" s="483"/>
      <c r="D158" s="25">
        <f>SUM(D146:D157)</f>
        <v>1187565.74</v>
      </c>
      <c r="E158" s="25">
        <f>SUM(E146:E157)</f>
        <v>271335.11</v>
      </c>
      <c r="F158" s="25">
        <f>SUM(F146:F157)</f>
        <v>248706.01</v>
      </c>
      <c r="G158" s="25">
        <f>SUM(G146:G157)</f>
        <v>1210194.8399999999</v>
      </c>
    </row>
    <row r="159" ht="18.75">
      <c r="D159" s="86"/>
    </row>
    <row r="162" ht="18.75">
      <c r="A162" s="23" t="s">
        <v>341</v>
      </c>
    </row>
    <row r="163" spans="1:6" ht="18.75">
      <c r="A163" s="23"/>
      <c r="B163" s="23" t="s">
        <v>296</v>
      </c>
      <c r="F163" s="382" t="s">
        <v>24</v>
      </c>
    </row>
    <row r="164" spans="2:6" ht="18.75">
      <c r="B164" s="1" t="s">
        <v>295</v>
      </c>
      <c r="F164" s="2">
        <v>0</v>
      </c>
    </row>
    <row r="165" spans="2:6" ht="18.75">
      <c r="B165" s="1" t="s">
        <v>9</v>
      </c>
      <c r="F165" s="2">
        <v>0</v>
      </c>
    </row>
    <row r="166" spans="2:6" ht="18.75">
      <c r="B166" s="1" t="s">
        <v>10</v>
      </c>
      <c r="F166" s="2">
        <v>486300</v>
      </c>
    </row>
    <row r="167" ht="18.75">
      <c r="F167" s="2"/>
    </row>
    <row r="168" spans="5:6" ht="19.5" thickBot="1">
      <c r="E168" s="3" t="s">
        <v>17</v>
      </c>
      <c r="F168" s="4">
        <f>SUM(F164:F167)</f>
        <v>486300</v>
      </c>
    </row>
    <row r="169" spans="1:7" ht="19.5" thickTop="1">
      <c r="A169" s="482" t="s">
        <v>29</v>
      </c>
      <c r="B169" s="482"/>
      <c r="C169" s="482"/>
      <c r="D169" s="482"/>
      <c r="E169" s="482"/>
      <c r="F169" s="482"/>
      <c r="G169" s="482"/>
    </row>
    <row r="170" spans="1:7" ht="18.75">
      <c r="A170" s="482" t="s">
        <v>291</v>
      </c>
      <c r="B170" s="482"/>
      <c r="C170" s="482"/>
      <c r="D170" s="482"/>
      <c r="E170" s="482"/>
      <c r="F170" s="482"/>
      <c r="G170" s="482"/>
    </row>
    <row r="171" spans="1:7" ht="18.75">
      <c r="A171" s="482" t="s">
        <v>572</v>
      </c>
      <c r="B171" s="482"/>
      <c r="C171" s="482"/>
      <c r="D171" s="482"/>
      <c r="E171" s="482"/>
      <c r="F171" s="482"/>
      <c r="G171" s="482"/>
    </row>
    <row r="172" spans="1:7" ht="18.75">
      <c r="A172" s="398"/>
      <c r="B172" s="398"/>
      <c r="C172" s="398"/>
      <c r="D172" s="398"/>
      <c r="E172" s="398"/>
      <c r="F172" s="398"/>
      <c r="G172" s="398"/>
    </row>
    <row r="173" spans="1:7" ht="18.75">
      <c r="A173" s="23" t="s">
        <v>340</v>
      </c>
      <c r="B173" s="3"/>
      <c r="C173" s="3"/>
      <c r="D173" s="199" t="s">
        <v>141</v>
      </c>
      <c r="E173" s="199" t="s">
        <v>292</v>
      </c>
      <c r="F173" s="199" t="s">
        <v>293</v>
      </c>
      <c r="G173" s="199" t="s">
        <v>294</v>
      </c>
    </row>
    <row r="174" spans="2:7" ht="18.75">
      <c r="B174" s="60" t="s">
        <v>26</v>
      </c>
      <c r="D174" s="25">
        <f>+G146</f>
        <v>56311.030000000006</v>
      </c>
      <c r="E174" s="22">
        <v>74427.05</v>
      </c>
      <c r="F174" s="22">
        <v>56311.03</v>
      </c>
      <c r="G174" s="25">
        <f aca="true" t="shared" si="9" ref="G174:G185">+D174+E174-F174</f>
        <v>74427.05000000002</v>
      </c>
    </row>
    <row r="175" spans="2:7" ht="18.75">
      <c r="B175" s="60" t="s">
        <v>84</v>
      </c>
      <c r="D175" s="25">
        <f aca="true" t="shared" si="10" ref="D175:D185">+G147</f>
        <v>5335.750000000002</v>
      </c>
      <c r="E175" s="22">
        <v>123.63</v>
      </c>
      <c r="F175" s="22">
        <v>0</v>
      </c>
      <c r="G175" s="25">
        <f t="shared" si="9"/>
        <v>5459.380000000002</v>
      </c>
    </row>
    <row r="176" spans="2:7" ht="18.75">
      <c r="B176" s="60" t="s">
        <v>27</v>
      </c>
      <c r="D176" s="25">
        <f t="shared" si="10"/>
        <v>1084481</v>
      </c>
      <c r="E176" s="22">
        <v>212250</v>
      </c>
      <c r="F176" s="22">
        <v>2885</v>
      </c>
      <c r="G176" s="25">
        <f t="shared" si="9"/>
        <v>1293846</v>
      </c>
    </row>
    <row r="177" spans="2:7" ht="18.75">
      <c r="B177" s="60" t="s">
        <v>85</v>
      </c>
      <c r="D177" s="25">
        <f t="shared" si="10"/>
        <v>28100</v>
      </c>
      <c r="E177" s="22">
        <v>0</v>
      </c>
      <c r="F177" s="22">
        <v>0</v>
      </c>
      <c r="G177" s="25">
        <f t="shared" si="9"/>
        <v>28100</v>
      </c>
    </row>
    <row r="178" spans="2:7" ht="18.75">
      <c r="B178" s="60" t="s">
        <v>86</v>
      </c>
      <c r="D178" s="25">
        <f t="shared" si="10"/>
        <v>23767.059999999878</v>
      </c>
      <c r="E178" s="22">
        <v>231294.61</v>
      </c>
      <c r="F178" s="22">
        <v>0</v>
      </c>
      <c r="G178" s="25">
        <f t="shared" si="9"/>
        <v>255061.66999999987</v>
      </c>
    </row>
    <row r="179" spans="2:7" ht="18.75">
      <c r="B179" s="60" t="s">
        <v>87</v>
      </c>
      <c r="D179" s="25">
        <f t="shared" si="10"/>
        <v>0</v>
      </c>
      <c r="E179" s="22">
        <v>0</v>
      </c>
      <c r="F179" s="22">
        <v>0</v>
      </c>
      <c r="G179" s="25">
        <f t="shared" si="9"/>
        <v>0</v>
      </c>
    </row>
    <row r="180" spans="2:7" ht="18.75">
      <c r="B180" s="60" t="s">
        <v>317</v>
      </c>
      <c r="D180" s="25">
        <f t="shared" si="10"/>
        <v>0</v>
      </c>
      <c r="E180" s="22">
        <v>0</v>
      </c>
      <c r="F180" s="22">
        <v>0</v>
      </c>
      <c r="G180" s="25">
        <f t="shared" si="9"/>
        <v>0</v>
      </c>
    </row>
    <row r="181" spans="2:7" ht="18.75">
      <c r="B181" s="1" t="s">
        <v>346</v>
      </c>
      <c r="D181" s="25">
        <f t="shared" si="10"/>
        <v>0</v>
      </c>
      <c r="E181" s="22">
        <v>0</v>
      </c>
      <c r="F181" s="22">
        <v>0</v>
      </c>
      <c r="G181" s="25">
        <f t="shared" si="9"/>
        <v>0</v>
      </c>
    </row>
    <row r="182" spans="2:7" ht="18.75">
      <c r="B182" s="1" t="s">
        <v>373</v>
      </c>
      <c r="D182" s="25">
        <f t="shared" si="10"/>
        <v>320</v>
      </c>
      <c r="E182" s="22">
        <v>132.5</v>
      </c>
      <c r="F182" s="22">
        <v>320</v>
      </c>
      <c r="G182" s="25">
        <f t="shared" si="9"/>
        <v>132.5</v>
      </c>
    </row>
    <row r="183" spans="2:7" ht="18.75">
      <c r="B183" s="1" t="s">
        <v>25</v>
      </c>
      <c r="D183" s="25">
        <f t="shared" si="10"/>
        <v>11880</v>
      </c>
      <c r="E183" s="22">
        <v>0</v>
      </c>
      <c r="F183" s="22">
        <v>0</v>
      </c>
      <c r="G183" s="25">
        <f t="shared" si="9"/>
        <v>11880</v>
      </c>
    </row>
    <row r="184" spans="2:7" ht="18.75">
      <c r="B184" s="1" t="s">
        <v>318</v>
      </c>
      <c r="D184" s="25">
        <f t="shared" si="10"/>
        <v>0</v>
      </c>
      <c r="E184" s="22">
        <v>0</v>
      </c>
      <c r="F184" s="22">
        <v>0</v>
      </c>
      <c r="G184" s="25">
        <f t="shared" si="9"/>
        <v>0</v>
      </c>
    </row>
    <row r="185" spans="2:7" ht="18.75">
      <c r="B185" s="1" t="s">
        <v>124</v>
      </c>
      <c r="D185" s="25">
        <f t="shared" si="10"/>
        <v>0</v>
      </c>
      <c r="E185" s="22">
        <v>0</v>
      </c>
      <c r="F185" s="22">
        <v>0</v>
      </c>
      <c r="G185" s="25">
        <f t="shared" si="9"/>
        <v>0</v>
      </c>
    </row>
    <row r="186" spans="2:7" ht="18.75">
      <c r="B186" s="482" t="s">
        <v>17</v>
      </c>
      <c r="C186" s="483"/>
      <c r="D186" s="25">
        <f>SUM(D174:D185)</f>
        <v>1210194.8399999999</v>
      </c>
      <c r="E186" s="25">
        <f>SUM(E174:E185)</f>
        <v>518227.79</v>
      </c>
      <c r="F186" s="25">
        <f>SUM(F174:F185)</f>
        <v>59516.03</v>
      </c>
      <c r="G186" s="25">
        <f>SUM(G174:G185)</f>
        <v>1668906.5999999999</v>
      </c>
    </row>
    <row r="187" ht="18.75">
      <c r="D187" s="86"/>
    </row>
    <row r="190" ht="18.75">
      <c r="A190" s="23" t="s">
        <v>341</v>
      </c>
    </row>
    <row r="191" spans="1:6" ht="18.75">
      <c r="A191" s="23"/>
      <c r="B191" s="23" t="s">
        <v>296</v>
      </c>
      <c r="F191" s="398" t="s">
        <v>24</v>
      </c>
    </row>
    <row r="192" spans="2:6" ht="18.75">
      <c r="B192" s="1" t="s">
        <v>295</v>
      </c>
      <c r="F192" s="2">
        <v>0</v>
      </c>
    </row>
    <row r="193" spans="2:6" ht="18.75">
      <c r="B193" s="1" t="s">
        <v>9</v>
      </c>
      <c r="F193" s="2">
        <v>0</v>
      </c>
    </row>
    <row r="194" spans="2:6" ht="18.75">
      <c r="B194" s="1" t="s">
        <v>10</v>
      </c>
      <c r="F194" s="2">
        <f>464500+696000+1020000</f>
        <v>2180500</v>
      </c>
    </row>
    <row r="195" ht="18.75">
      <c r="F195" s="2"/>
    </row>
    <row r="196" spans="5:6" ht="19.5" thickBot="1">
      <c r="E196" s="3" t="s">
        <v>17</v>
      </c>
      <c r="F196" s="4">
        <f>SUM(F192:F195)</f>
        <v>2180500</v>
      </c>
    </row>
    <row r="197" spans="1:7" ht="19.5" thickTop="1">
      <c r="A197" s="482" t="s">
        <v>29</v>
      </c>
      <c r="B197" s="482"/>
      <c r="C197" s="482"/>
      <c r="D197" s="482"/>
      <c r="E197" s="482"/>
      <c r="F197" s="482"/>
      <c r="G197" s="482"/>
    </row>
    <row r="198" spans="1:7" ht="18.75">
      <c r="A198" s="482" t="s">
        <v>291</v>
      </c>
      <c r="B198" s="482"/>
      <c r="C198" s="482"/>
      <c r="D198" s="482"/>
      <c r="E198" s="482"/>
      <c r="F198" s="482"/>
      <c r="G198" s="482"/>
    </row>
    <row r="199" spans="1:7" ht="18.75">
      <c r="A199" s="482" t="s">
        <v>611</v>
      </c>
      <c r="B199" s="482"/>
      <c r="C199" s="482"/>
      <c r="D199" s="482"/>
      <c r="E199" s="482"/>
      <c r="F199" s="482"/>
      <c r="G199" s="482"/>
    </row>
    <row r="200" spans="1:7" ht="18.75">
      <c r="A200" s="415"/>
      <c r="B200" s="415"/>
      <c r="C200" s="415"/>
      <c r="D200" s="415"/>
      <c r="E200" s="415"/>
      <c r="F200" s="415"/>
      <c r="G200" s="415"/>
    </row>
    <row r="201" spans="1:7" ht="18.75">
      <c r="A201" s="23" t="s">
        <v>340</v>
      </c>
      <c r="B201" s="3"/>
      <c r="C201" s="3"/>
      <c r="D201" s="199" t="s">
        <v>141</v>
      </c>
      <c r="E201" s="199" t="s">
        <v>292</v>
      </c>
      <c r="F201" s="199" t="s">
        <v>293</v>
      </c>
      <c r="G201" s="199" t="s">
        <v>294</v>
      </c>
    </row>
    <row r="202" spans="2:7" ht="18.75">
      <c r="B202" s="60" t="s">
        <v>26</v>
      </c>
      <c r="D202" s="25">
        <f>+G174</f>
        <v>74427.05000000002</v>
      </c>
      <c r="E202" s="22">
        <v>59710.76</v>
      </c>
      <c r="F202" s="22">
        <v>74427.05</v>
      </c>
      <c r="G202" s="25">
        <f aca="true" t="shared" si="11" ref="G202:G213">+D202+E202-F202</f>
        <v>59710.760000000024</v>
      </c>
    </row>
    <row r="203" spans="2:7" ht="18.75">
      <c r="B203" s="60" t="s">
        <v>84</v>
      </c>
      <c r="D203" s="25">
        <f aca="true" t="shared" si="12" ref="D203:D213">+G175</f>
        <v>5459.380000000002</v>
      </c>
      <c r="E203" s="22">
        <v>45.74</v>
      </c>
      <c r="F203" s="22">
        <v>0</v>
      </c>
      <c r="G203" s="25">
        <f t="shared" si="11"/>
        <v>5505.120000000002</v>
      </c>
    </row>
    <row r="204" spans="2:7" ht="18.75">
      <c r="B204" s="60" t="s">
        <v>27</v>
      </c>
      <c r="D204" s="25">
        <f t="shared" si="12"/>
        <v>1293846</v>
      </c>
      <c r="E204" s="22">
        <v>31900</v>
      </c>
      <c r="F204" s="22">
        <v>178625</v>
      </c>
      <c r="G204" s="25">
        <f t="shared" si="11"/>
        <v>1147121</v>
      </c>
    </row>
    <row r="205" spans="2:7" ht="18.75">
      <c r="B205" s="60" t="s">
        <v>85</v>
      </c>
      <c r="D205" s="25">
        <f t="shared" si="12"/>
        <v>28100</v>
      </c>
      <c r="E205" s="22">
        <v>0</v>
      </c>
      <c r="F205" s="22">
        <v>0</v>
      </c>
      <c r="G205" s="25">
        <f t="shared" si="11"/>
        <v>28100</v>
      </c>
    </row>
    <row r="206" spans="2:7" ht="18.75">
      <c r="B206" s="60" t="s">
        <v>86</v>
      </c>
      <c r="D206" s="25">
        <f t="shared" si="12"/>
        <v>255061.66999999987</v>
      </c>
      <c r="E206" s="22">
        <v>0</v>
      </c>
      <c r="F206" s="22">
        <v>0</v>
      </c>
      <c r="G206" s="25">
        <f t="shared" si="11"/>
        <v>255061.66999999987</v>
      </c>
    </row>
    <row r="207" spans="2:7" ht="18.75">
      <c r="B207" s="60" t="s">
        <v>87</v>
      </c>
      <c r="D207" s="25">
        <f t="shared" si="12"/>
        <v>0</v>
      </c>
      <c r="E207" s="22">
        <v>0</v>
      </c>
      <c r="F207" s="22">
        <v>0</v>
      </c>
      <c r="G207" s="25">
        <f t="shared" si="11"/>
        <v>0</v>
      </c>
    </row>
    <row r="208" spans="2:7" ht="18.75">
      <c r="B208" s="60" t="s">
        <v>317</v>
      </c>
      <c r="D208" s="25">
        <f t="shared" si="12"/>
        <v>0</v>
      </c>
      <c r="E208" s="22">
        <v>0</v>
      </c>
      <c r="F208" s="22">
        <v>0</v>
      </c>
      <c r="G208" s="25">
        <f t="shared" si="11"/>
        <v>0</v>
      </c>
    </row>
    <row r="209" spans="2:7" ht="18.75">
      <c r="B209" s="1" t="s">
        <v>346</v>
      </c>
      <c r="D209" s="25">
        <f t="shared" si="12"/>
        <v>0</v>
      </c>
      <c r="E209" s="22">
        <v>0</v>
      </c>
      <c r="F209" s="22">
        <v>0</v>
      </c>
      <c r="G209" s="25">
        <f t="shared" si="11"/>
        <v>0</v>
      </c>
    </row>
    <row r="210" spans="2:7" ht="18.75">
      <c r="B210" s="1" t="s">
        <v>373</v>
      </c>
      <c r="D210" s="25">
        <f t="shared" si="12"/>
        <v>132.5</v>
      </c>
      <c r="E210" s="22">
        <v>7809</v>
      </c>
      <c r="F210" s="22">
        <v>7941.5</v>
      </c>
      <c r="G210" s="25">
        <f t="shared" si="11"/>
        <v>0</v>
      </c>
    </row>
    <row r="211" spans="2:7" ht="18.75">
      <c r="B211" s="1" t="s">
        <v>25</v>
      </c>
      <c r="D211" s="25">
        <f t="shared" si="12"/>
        <v>11880</v>
      </c>
      <c r="E211" s="22">
        <v>0</v>
      </c>
      <c r="F211" s="22">
        <v>0</v>
      </c>
      <c r="G211" s="25">
        <f t="shared" si="11"/>
        <v>11880</v>
      </c>
    </row>
    <row r="212" spans="2:7" ht="18.75">
      <c r="B212" s="1" t="s">
        <v>318</v>
      </c>
      <c r="D212" s="25">
        <f t="shared" si="12"/>
        <v>0</v>
      </c>
      <c r="E212" s="22">
        <v>0</v>
      </c>
      <c r="F212" s="22">
        <v>0</v>
      </c>
      <c r="G212" s="25">
        <f t="shared" si="11"/>
        <v>0</v>
      </c>
    </row>
    <row r="213" spans="2:7" ht="18.75">
      <c r="B213" s="1" t="s">
        <v>124</v>
      </c>
      <c r="D213" s="25">
        <f t="shared" si="12"/>
        <v>0</v>
      </c>
      <c r="E213" s="22">
        <v>0</v>
      </c>
      <c r="F213" s="22">
        <v>0</v>
      </c>
      <c r="G213" s="25">
        <f t="shared" si="11"/>
        <v>0</v>
      </c>
    </row>
    <row r="214" spans="2:7" ht="18.75">
      <c r="B214" s="482" t="s">
        <v>17</v>
      </c>
      <c r="C214" s="483"/>
      <c r="D214" s="25">
        <f>SUM(D202:D213)</f>
        <v>1668906.5999999999</v>
      </c>
      <c r="E214" s="25">
        <f>SUM(E202:E213)</f>
        <v>99465.5</v>
      </c>
      <c r="F214" s="25">
        <f>SUM(F202:F213)</f>
        <v>260993.55</v>
      </c>
      <c r="G214" s="25">
        <f>SUM(G202:G213)</f>
        <v>1507378.55</v>
      </c>
    </row>
    <row r="215" ht="18.75">
      <c r="D215" s="86"/>
    </row>
    <row r="218" ht="18.75">
      <c r="A218" s="23" t="s">
        <v>341</v>
      </c>
    </row>
    <row r="219" spans="1:6" ht="18.75">
      <c r="A219" s="23"/>
      <c r="B219" s="23" t="s">
        <v>296</v>
      </c>
      <c r="F219" s="415" t="s">
        <v>24</v>
      </c>
    </row>
    <row r="220" spans="2:6" ht="18.75">
      <c r="B220" s="1" t="s">
        <v>295</v>
      </c>
      <c r="F220" s="2">
        <v>0</v>
      </c>
    </row>
    <row r="221" spans="2:6" ht="18.75">
      <c r="B221" s="1" t="s">
        <v>9</v>
      </c>
      <c r="F221" s="2">
        <v>0</v>
      </c>
    </row>
    <row r="222" spans="2:6" ht="18.75">
      <c r="B222" s="1" t="s">
        <v>10</v>
      </c>
      <c r="F222" s="2">
        <v>0</v>
      </c>
    </row>
    <row r="223" ht="18.75">
      <c r="F223" s="2"/>
    </row>
    <row r="224" spans="5:6" ht="19.5" thickBot="1">
      <c r="E224" s="3" t="s">
        <v>17</v>
      </c>
      <c r="F224" s="4">
        <f>SUM(F220:F223)</f>
        <v>0</v>
      </c>
    </row>
    <row r="225" ht="19.5" thickTop="1"/>
  </sheetData>
  <sheetProtection/>
  <mergeCells count="32">
    <mergeCell ref="A197:G197"/>
    <mergeCell ref="A198:G198"/>
    <mergeCell ref="A199:G199"/>
    <mergeCell ref="B214:C214"/>
    <mergeCell ref="A169:G169"/>
    <mergeCell ref="A170:G170"/>
    <mergeCell ref="A171:G171"/>
    <mergeCell ref="B186:C186"/>
    <mergeCell ref="A143:G143"/>
    <mergeCell ref="B158:C158"/>
    <mergeCell ref="A85:G85"/>
    <mergeCell ref="A86:G86"/>
    <mergeCell ref="A87:G87"/>
    <mergeCell ref="B102:C102"/>
    <mergeCell ref="A141:G141"/>
    <mergeCell ref="A113:G113"/>
    <mergeCell ref="A114:G114"/>
    <mergeCell ref="A115:G115"/>
    <mergeCell ref="B130:C130"/>
    <mergeCell ref="A142:G142"/>
    <mergeCell ref="A1:G1"/>
    <mergeCell ref="A2:G2"/>
    <mergeCell ref="A3:G3"/>
    <mergeCell ref="B18:C18"/>
    <mergeCell ref="A29:G29"/>
    <mergeCell ref="A57:G57"/>
    <mergeCell ref="A58:G58"/>
    <mergeCell ref="A59:G59"/>
    <mergeCell ref="B74:C74"/>
    <mergeCell ref="A30:G30"/>
    <mergeCell ref="A31:G31"/>
    <mergeCell ref="B46:C46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  <rowBreaks count="7" manualBreakCount="7">
    <brk id="28" max="6" man="1"/>
    <brk id="56" max="6" man="1"/>
    <brk id="84" max="6" man="1"/>
    <brk id="112" max="6" man="1"/>
    <brk id="140" max="6" man="1"/>
    <brk id="168" max="6" man="1"/>
    <brk id="19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329"/>
  <sheetViews>
    <sheetView view="pageBreakPreview" zoomScaleSheetLayoutView="100" zoomScalePageLayoutView="0" workbookViewId="0" topLeftCell="A314">
      <selection activeCell="C294" sqref="C294"/>
    </sheetView>
  </sheetViews>
  <sheetFormatPr defaultColWidth="9.140625" defaultRowHeight="12.75"/>
  <cols>
    <col min="1" max="1" width="9.140625" style="1" customWidth="1"/>
    <col min="2" max="2" width="37.28125" style="1" customWidth="1"/>
    <col min="3" max="3" width="16.421875" style="1" customWidth="1"/>
    <col min="4" max="4" width="4.7109375" style="1" customWidth="1"/>
    <col min="5" max="5" width="18.57421875" style="1" customWidth="1"/>
    <col min="6" max="6" width="13.57421875" style="98" bestFit="1" customWidth="1"/>
    <col min="7" max="7" width="13.57421875" style="97" bestFit="1" customWidth="1"/>
    <col min="8" max="9" width="13.57421875" style="1" bestFit="1" customWidth="1"/>
    <col min="10" max="16384" width="9.140625" style="1" customWidth="1"/>
  </cols>
  <sheetData>
    <row r="1" spans="1:5" ht="18.75">
      <c r="A1" s="482" t="s">
        <v>29</v>
      </c>
      <c r="B1" s="482"/>
      <c r="C1" s="482"/>
      <c r="D1" s="482"/>
      <c r="E1" s="482"/>
    </row>
    <row r="2" spans="1:5" ht="18.75">
      <c r="A2" s="482" t="s">
        <v>150</v>
      </c>
      <c r="B2" s="482"/>
      <c r="C2" s="482"/>
      <c r="D2" s="482"/>
      <c r="E2" s="482"/>
    </row>
    <row r="3" spans="1:5" ht="18.75">
      <c r="A3" s="482" t="s">
        <v>469</v>
      </c>
      <c r="B3" s="482"/>
      <c r="C3" s="482"/>
      <c r="D3" s="482"/>
      <c r="E3" s="482"/>
    </row>
    <row r="5" spans="3:5" ht="18.75">
      <c r="C5" s="292" t="s">
        <v>139</v>
      </c>
      <c r="D5" s="292"/>
      <c r="E5" s="292" t="s">
        <v>160</v>
      </c>
    </row>
    <row r="6" ht="18.75">
      <c r="A6" s="3" t="s">
        <v>18</v>
      </c>
    </row>
    <row r="7" spans="2:5" ht="18.75">
      <c r="B7" s="1" t="s">
        <v>151</v>
      </c>
      <c r="C7" s="2">
        <v>1651932.43</v>
      </c>
      <c r="D7" s="2"/>
      <c r="E7" s="2">
        <f>C7</f>
        <v>1651932.43</v>
      </c>
    </row>
    <row r="8" spans="2:5" ht="18.75">
      <c r="B8" s="1" t="s">
        <v>152</v>
      </c>
      <c r="C8" s="2">
        <f>554840+1050+2100+1500+2997.3</f>
        <v>562487.3</v>
      </c>
      <c r="D8" s="2"/>
      <c r="E8" s="2">
        <f aca="true" t="shared" si="0" ref="E8:E25">C8</f>
        <v>562487.3</v>
      </c>
    </row>
    <row r="9" spans="2:6" ht="18.75">
      <c r="B9" s="1" t="s">
        <v>491</v>
      </c>
      <c r="C9" s="2">
        <v>0</v>
      </c>
      <c r="D9" s="2"/>
      <c r="E9" s="2">
        <f t="shared" si="0"/>
        <v>0</v>
      </c>
      <c r="F9" s="98">
        <f>+C7+C9</f>
        <v>1651932.43</v>
      </c>
    </row>
    <row r="10" spans="2:5" ht="18.75">
      <c r="B10" s="1" t="s">
        <v>153</v>
      </c>
      <c r="C10" s="2">
        <v>0</v>
      </c>
      <c r="D10" s="2"/>
      <c r="E10" s="2">
        <f t="shared" si="0"/>
        <v>0</v>
      </c>
    </row>
    <row r="11" spans="2:5" ht="18.75">
      <c r="B11" s="1" t="s">
        <v>324</v>
      </c>
      <c r="C11" s="2">
        <v>0</v>
      </c>
      <c r="D11" s="2"/>
      <c r="E11" s="2">
        <f t="shared" si="0"/>
        <v>0</v>
      </c>
    </row>
    <row r="12" spans="2:5" ht="18.75">
      <c r="B12" s="1" t="s">
        <v>309</v>
      </c>
      <c r="C12" s="2">
        <v>0</v>
      </c>
      <c r="D12" s="2"/>
      <c r="E12" s="2">
        <f t="shared" si="0"/>
        <v>0</v>
      </c>
    </row>
    <row r="13" spans="2:5" ht="18.75" hidden="1">
      <c r="B13" s="1" t="s">
        <v>325</v>
      </c>
      <c r="C13" s="2"/>
      <c r="D13" s="2"/>
      <c r="E13" s="2">
        <f t="shared" si="0"/>
        <v>0</v>
      </c>
    </row>
    <row r="14" spans="2:5" ht="18.75" hidden="1">
      <c r="B14" s="1" t="s">
        <v>330</v>
      </c>
      <c r="C14" s="2"/>
      <c r="D14" s="2"/>
      <c r="E14" s="2">
        <f t="shared" si="0"/>
        <v>0</v>
      </c>
    </row>
    <row r="15" spans="2:5" ht="18.75">
      <c r="B15" s="1" t="s">
        <v>363</v>
      </c>
      <c r="C15" s="2">
        <v>0</v>
      </c>
      <c r="D15" s="2"/>
      <c r="E15" s="2">
        <f t="shared" si="0"/>
        <v>0</v>
      </c>
    </row>
    <row r="16" spans="2:5" ht="18.75">
      <c r="B16" s="1" t="s">
        <v>329</v>
      </c>
      <c r="C16" s="2">
        <v>0</v>
      </c>
      <c r="D16" s="2"/>
      <c r="E16" s="2">
        <f t="shared" si="0"/>
        <v>0</v>
      </c>
    </row>
    <row r="17" spans="2:5" ht="18.75">
      <c r="B17" s="1" t="s">
        <v>393</v>
      </c>
      <c r="C17" s="2">
        <v>0</v>
      </c>
      <c r="D17" s="2"/>
      <c r="E17" s="2">
        <f t="shared" si="0"/>
        <v>0</v>
      </c>
    </row>
    <row r="18" spans="2:5" ht="18.75">
      <c r="B18" s="1" t="s">
        <v>473</v>
      </c>
      <c r="C18" s="2">
        <v>600</v>
      </c>
      <c r="D18" s="2"/>
      <c r="E18" s="2">
        <f t="shared" si="0"/>
        <v>600</v>
      </c>
    </row>
    <row r="19" spans="2:5" ht="18.75">
      <c r="B19" s="1" t="s">
        <v>333</v>
      </c>
      <c r="C19" s="2">
        <v>0</v>
      </c>
      <c r="D19" s="2"/>
      <c r="E19" s="2">
        <f t="shared" si="0"/>
        <v>0</v>
      </c>
    </row>
    <row r="20" spans="2:5" ht="18.75">
      <c r="B20" s="1" t="s">
        <v>321</v>
      </c>
      <c r="C20" s="2">
        <v>0</v>
      </c>
      <c r="D20" s="2"/>
      <c r="E20" s="2">
        <f t="shared" si="0"/>
        <v>0</v>
      </c>
    </row>
    <row r="21" spans="2:5" ht="18.75">
      <c r="B21" s="1" t="s">
        <v>445</v>
      </c>
      <c r="C21" s="2">
        <v>0</v>
      </c>
      <c r="D21" s="2"/>
      <c r="E21" s="2">
        <f t="shared" si="0"/>
        <v>0</v>
      </c>
    </row>
    <row r="22" spans="2:5" ht="18.75">
      <c r="B22" s="1" t="s">
        <v>446</v>
      </c>
      <c r="C22" s="2">
        <v>0</v>
      </c>
      <c r="D22" s="2"/>
      <c r="E22" s="2">
        <f t="shared" si="0"/>
        <v>0</v>
      </c>
    </row>
    <row r="23" spans="2:5" ht="18.75">
      <c r="B23" s="1" t="s">
        <v>372</v>
      </c>
      <c r="C23" s="2">
        <v>0</v>
      </c>
      <c r="D23" s="2"/>
      <c r="E23" s="2">
        <f t="shared" si="0"/>
        <v>0</v>
      </c>
    </row>
    <row r="24" spans="2:5" ht="18.75">
      <c r="B24" s="1" t="s">
        <v>460</v>
      </c>
      <c r="C24" s="2">
        <v>0</v>
      </c>
      <c r="D24" s="2"/>
      <c r="E24" s="2">
        <f t="shared" si="0"/>
        <v>0</v>
      </c>
    </row>
    <row r="25" spans="2:5" ht="18.75">
      <c r="B25" s="1" t="s">
        <v>289</v>
      </c>
      <c r="C25" s="2">
        <v>0</v>
      </c>
      <c r="D25" s="2"/>
      <c r="E25" s="2">
        <f t="shared" si="0"/>
        <v>0</v>
      </c>
    </row>
    <row r="26" spans="2:6" ht="19.5" thickBot="1">
      <c r="B26" s="292" t="s">
        <v>17</v>
      </c>
      <c r="C26" s="4">
        <f>SUM(C7:C25)</f>
        <v>2215019.73</v>
      </c>
      <c r="D26" s="80"/>
      <c r="E26" s="4">
        <f>SUM(E7:E25)</f>
        <v>2215019.73</v>
      </c>
      <c r="F26" s="98">
        <f>+'รับ-จ่ายเงินสด'!E42</f>
        <v>2215019.73</v>
      </c>
    </row>
    <row r="27" spans="3:5" ht="19.5" thickTop="1">
      <c r="C27" s="2"/>
      <c r="D27" s="2"/>
      <c r="E27" s="2"/>
    </row>
    <row r="28" spans="1:5" ht="18.75">
      <c r="A28" s="3" t="s">
        <v>30</v>
      </c>
      <c r="C28" s="2"/>
      <c r="D28" s="2"/>
      <c r="E28" s="2"/>
    </row>
    <row r="29" spans="2:5" ht="18.75">
      <c r="B29" s="1" t="s">
        <v>154</v>
      </c>
      <c r="C29" s="2">
        <f>16514+213734+333023+27285+172970+28683.15+12950+1760</f>
        <v>806919.15</v>
      </c>
      <c r="D29" s="2"/>
      <c r="E29" s="2">
        <f>C29</f>
        <v>806919.15</v>
      </c>
    </row>
    <row r="30" spans="2:5" ht="18.75">
      <c r="B30" s="1" t="s">
        <v>155</v>
      </c>
      <c r="C30" s="2">
        <f>26089.04+177400</f>
        <v>203489.04</v>
      </c>
      <c r="D30" s="2"/>
      <c r="E30" s="2">
        <f aca="true" t="shared" si="1" ref="E30:E42">C30</f>
        <v>203489.04</v>
      </c>
    </row>
    <row r="31" spans="2:5" ht="18.75">
      <c r="B31" s="1" t="s">
        <v>28</v>
      </c>
      <c r="C31" s="2">
        <v>10000</v>
      </c>
      <c r="D31" s="2"/>
      <c r="E31" s="2">
        <f t="shared" si="1"/>
        <v>10000</v>
      </c>
    </row>
    <row r="32" spans="2:5" ht="18.75">
      <c r="B32" s="1" t="s">
        <v>156</v>
      </c>
      <c r="C32" s="2">
        <v>0</v>
      </c>
      <c r="D32" s="2"/>
      <c r="E32" s="2">
        <f t="shared" si="1"/>
        <v>0</v>
      </c>
    </row>
    <row r="33" spans="2:5" ht="18.75">
      <c r="B33" s="1" t="s">
        <v>157</v>
      </c>
      <c r="C33" s="2">
        <v>0</v>
      </c>
      <c r="D33" s="2"/>
      <c r="E33" s="2">
        <f t="shared" si="1"/>
        <v>0</v>
      </c>
    </row>
    <row r="34" spans="2:5" ht="18.75">
      <c r="B34" s="1" t="s">
        <v>158</v>
      </c>
      <c r="C34" s="2">
        <v>7000</v>
      </c>
      <c r="D34" s="2"/>
      <c r="E34" s="2">
        <f t="shared" si="1"/>
        <v>7000</v>
      </c>
    </row>
    <row r="35" spans="2:5" ht="18.75">
      <c r="B35" s="1" t="s">
        <v>159</v>
      </c>
      <c r="C35" s="2">
        <v>901400</v>
      </c>
      <c r="D35" s="2"/>
      <c r="E35" s="2">
        <f t="shared" si="1"/>
        <v>901400</v>
      </c>
    </row>
    <row r="36" spans="2:5" ht="18.75">
      <c r="B36" s="1" t="s">
        <v>336</v>
      </c>
      <c r="C36" s="2">
        <v>0</v>
      </c>
      <c r="D36" s="2"/>
      <c r="E36" s="2">
        <f t="shared" si="1"/>
        <v>0</v>
      </c>
    </row>
    <row r="37" spans="2:5" ht="18.75">
      <c r="B37" s="1" t="s">
        <v>58</v>
      </c>
      <c r="C37" s="2">
        <v>0</v>
      </c>
      <c r="D37" s="2"/>
      <c r="E37" s="2">
        <f t="shared" si="1"/>
        <v>0</v>
      </c>
    </row>
    <row r="38" spans="2:5" ht="18.75">
      <c r="B38" s="1" t="s">
        <v>14</v>
      </c>
      <c r="C38" s="2">
        <v>291500</v>
      </c>
      <c r="D38" s="2"/>
      <c r="E38" s="2">
        <f t="shared" si="1"/>
        <v>291500</v>
      </c>
    </row>
    <row r="39" spans="2:5" ht="18.75">
      <c r="B39" s="1" t="s">
        <v>388</v>
      </c>
      <c r="C39" s="2">
        <v>0</v>
      </c>
      <c r="D39" s="2"/>
      <c r="E39" s="2">
        <f t="shared" si="1"/>
        <v>0</v>
      </c>
    </row>
    <row r="40" spans="2:5" ht="18.75">
      <c r="B40" s="1" t="s">
        <v>389</v>
      </c>
      <c r="C40" s="2">
        <v>0</v>
      </c>
      <c r="D40" s="2"/>
      <c r="E40" s="2">
        <f t="shared" si="1"/>
        <v>0</v>
      </c>
    </row>
    <row r="41" spans="2:5" ht="18.75">
      <c r="B41" s="1" t="s">
        <v>349</v>
      </c>
      <c r="C41" s="2">
        <v>0</v>
      </c>
      <c r="D41" s="2"/>
      <c r="E41" s="2">
        <f t="shared" si="1"/>
        <v>0</v>
      </c>
    </row>
    <row r="42" spans="2:5" ht="18.75">
      <c r="B42" s="1" t="s">
        <v>365</v>
      </c>
      <c r="C42" s="2">
        <v>0</v>
      </c>
      <c r="D42" s="2"/>
      <c r="E42" s="2">
        <f t="shared" si="1"/>
        <v>0</v>
      </c>
    </row>
    <row r="43" spans="2:6" ht="19.5" thickBot="1">
      <c r="B43" s="292" t="s">
        <v>17</v>
      </c>
      <c r="C43" s="4">
        <f>SUM(C29:C42)</f>
        <v>2220308.19</v>
      </c>
      <c r="D43" s="81"/>
      <c r="E43" s="4">
        <f>SUM(E29:E42)</f>
        <v>2220308.19</v>
      </c>
      <c r="F43" s="98">
        <f>+'รับ-จ่ายเงินสด'!E88</f>
        <v>2220308.19</v>
      </c>
    </row>
    <row r="44" spans="2:6" ht="20.25" thickBot="1" thickTop="1">
      <c r="B44" s="292" t="s">
        <v>163</v>
      </c>
      <c r="C44" s="82">
        <f>SUM(C26-C43)</f>
        <v>-5288.459999999963</v>
      </c>
      <c r="D44" s="83"/>
      <c r="E44" s="82">
        <f>SUM(E26-E43)</f>
        <v>-5288.459999999963</v>
      </c>
      <c r="F44" s="98">
        <f>+'รับ-จ่ายเงินสด'!E91</f>
        <v>-5288.459999999963</v>
      </c>
    </row>
    <row r="45" spans="1:5" ht="19.5" thickTop="1">
      <c r="A45" s="482" t="s">
        <v>29</v>
      </c>
      <c r="B45" s="482"/>
      <c r="C45" s="482"/>
      <c r="D45" s="482"/>
      <c r="E45" s="482"/>
    </row>
    <row r="46" spans="1:5" ht="18.75">
      <c r="A46" s="482" t="s">
        <v>150</v>
      </c>
      <c r="B46" s="482"/>
      <c r="C46" s="482"/>
      <c r="D46" s="482"/>
      <c r="E46" s="482"/>
    </row>
    <row r="47" spans="1:5" ht="18.75">
      <c r="A47" s="482" t="s">
        <v>489</v>
      </c>
      <c r="B47" s="482"/>
      <c r="C47" s="482"/>
      <c r="D47" s="482"/>
      <c r="E47" s="482"/>
    </row>
    <row r="49" spans="3:5" ht="18.75">
      <c r="C49" s="324" t="s">
        <v>139</v>
      </c>
      <c r="D49" s="324"/>
      <c r="E49" s="324" t="s">
        <v>160</v>
      </c>
    </row>
    <row r="50" ht="18.75">
      <c r="A50" s="3" t="s">
        <v>18</v>
      </c>
    </row>
    <row r="51" spans="2:5" ht="18.75">
      <c r="B51" s="1" t="s">
        <v>151</v>
      </c>
      <c r="C51" s="2">
        <f>16620+330+50+20+200+250+14740+49000+20+651967.56+282162.15+242305.67+375472.13+51103+1739770</f>
        <v>3424010.5100000002</v>
      </c>
      <c r="D51" s="2"/>
      <c r="E51" s="2">
        <f>C51+E7</f>
        <v>5075942.94</v>
      </c>
    </row>
    <row r="52" spans="2:5" ht="18.75">
      <c r="B52" s="1" t="s">
        <v>152</v>
      </c>
      <c r="C52" s="2">
        <f>40750+2099+11200+1082.81</f>
        <v>55131.81</v>
      </c>
      <c r="D52" s="2"/>
      <c r="E52" s="2">
        <f aca="true" t="shared" si="2" ref="E52:E68">C52+E8</f>
        <v>617619.1100000001</v>
      </c>
    </row>
    <row r="53" spans="2:5" ht="18.75">
      <c r="B53" s="1" t="s">
        <v>491</v>
      </c>
      <c r="C53" s="2">
        <f>515270+1189000+16000+19500+1118881+2434800+262500+148750+207480+125100+6255-1739770</f>
        <v>4303766</v>
      </c>
      <c r="D53" s="2"/>
      <c r="E53" s="2">
        <f t="shared" si="2"/>
        <v>4303766</v>
      </c>
    </row>
    <row r="54" spans="2:5" ht="18.75">
      <c r="B54" s="1" t="s">
        <v>153</v>
      </c>
      <c r="C54" s="2">
        <v>0</v>
      </c>
      <c r="D54" s="2"/>
      <c r="E54" s="2">
        <f t="shared" si="2"/>
        <v>0</v>
      </c>
    </row>
    <row r="55" spans="2:5" ht="18.75">
      <c r="B55" s="1" t="s">
        <v>324</v>
      </c>
      <c r="C55" s="2">
        <v>0</v>
      </c>
      <c r="D55" s="2"/>
      <c r="E55" s="2">
        <f t="shared" si="2"/>
        <v>0</v>
      </c>
    </row>
    <row r="56" spans="2:5" ht="18.75">
      <c r="B56" s="1" t="s">
        <v>309</v>
      </c>
      <c r="C56" s="2">
        <v>0</v>
      </c>
      <c r="D56" s="2"/>
      <c r="E56" s="2">
        <f t="shared" si="2"/>
        <v>0</v>
      </c>
    </row>
    <row r="57" spans="2:5" ht="18.75">
      <c r="B57" s="1" t="s">
        <v>325</v>
      </c>
      <c r="C57" s="2">
        <v>600</v>
      </c>
      <c r="D57" s="2"/>
      <c r="E57" s="2">
        <f t="shared" si="2"/>
        <v>600</v>
      </c>
    </row>
    <row r="58" spans="2:5" ht="18.75">
      <c r="B58" s="1" t="s">
        <v>330</v>
      </c>
      <c r="C58" s="2"/>
      <c r="D58" s="2"/>
      <c r="E58" s="2">
        <f t="shared" si="2"/>
        <v>0</v>
      </c>
    </row>
    <row r="59" spans="2:5" ht="18.75">
      <c r="B59" s="1" t="s">
        <v>363</v>
      </c>
      <c r="C59" s="2">
        <v>0</v>
      </c>
      <c r="D59" s="2"/>
      <c r="E59" s="2">
        <f t="shared" si="2"/>
        <v>0</v>
      </c>
    </row>
    <row r="60" spans="2:5" ht="18.75">
      <c r="B60" s="1" t="s">
        <v>329</v>
      </c>
      <c r="C60" s="2">
        <v>0</v>
      </c>
      <c r="D60" s="2"/>
      <c r="E60" s="2">
        <f t="shared" si="2"/>
        <v>0</v>
      </c>
    </row>
    <row r="61" spans="2:5" ht="18.75">
      <c r="B61" s="1" t="s">
        <v>393</v>
      </c>
      <c r="C61" s="2">
        <v>0</v>
      </c>
      <c r="D61" s="2"/>
      <c r="E61" s="2">
        <f t="shared" si="2"/>
        <v>0</v>
      </c>
    </row>
    <row r="62" spans="2:5" ht="18.75">
      <c r="B62" s="1" t="s">
        <v>473</v>
      </c>
      <c r="C62" s="2"/>
      <c r="D62" s="2"/>
      <c r="E62" s="2">
        <f t="shared" si="2"/>
        <v>600</v>
      </c>
    </row>
    <row r="63" spans="2:5" ht="18.75">
      <c r="B63" s="1" t="s">
        <v>333</v>
      </c>
      <c r="C63" s="2">
        <v>0</v>
      </c>
      <c r="D63" s="2"/>
      <c r="E63" s="2">
        <f t="shared" si="2"/>
        <v>0</v>
      </c>
    </row>
    <row r="64" spans="2:5" ht="18.75">
      <c r="B64" s="1" t="s">
        <v>321</v>
      </c>
      <c r="C64" s="2">
        <v>0</v>
      </c>
      <c r="D64" s="2"/>
      <c r="E64" s="2">
        <f t="shared" si="2"/>
        <v>0</v>
      </c>
    </row>
    <row r="65" spans="2:5" ht="18.75">
      <c r="B65" s="1" t="s">
        <v>445</v>
      </c>
      <c r="C65" s="2">
        <v>0</v>
      </c>
      <c r="D65" s="2"/>
      <c r="E65" s="2">
        <f t="shared" si="2"/>
        <v>0</v>
      </c>
    </row>
    <row r="66" spans="2:5" ht="18.75">
      <c r="B66" s="1" t="s">
        <v>446</v>
      </c>
      <c r="C66" s="2">
        <v>0</v>
      </c>
      <c r="D66" s="2"/>
      <c r="E66" s="2">
        <f t="shared" si="2"/>
        <v>0</v>
      </c>
    </row>
    <row r="67" spans="2:5" ht="18.75">
      <c r="B67" s="1" t="s">
        <v>372</v>
      </c>
      <c r="C67" s="2">
        <v>0</v>
      </c>
      <c r="D67" s="2"/>
      <c r="E67" s="2">
        <f t="shared" si="2"/>
        <v>0</v>
      </c>
    </row>
    <row r="68" spans="2:5" ht="18.75">
      <c r="B68" s="1" t="s">
        <v>460</v>
      </c>
      <c r="C68" s="2">
        <v>0</v>
      </c>
      <c r="D68" s="2"/>
      <c r="E68" s="2">
        <f t="shared" si="2"/>
        <v>0</v>
      </c>
    </row>
    <row r="69" spans="2:5" ht="18.75">
      <c r="B69" s="1" t="s">
        <v>289</v>
      </c>
      <c r="C69" s="2">
        <v>0</v>
      </c>
      <c r="D69" s="2"/>
      <c r="E69" s="2">
        <f>C69+E25</f>
        <v>0</v>
      </c>
    </row>
    <row r="70" spans="2:5" ht="19.5" thickBot="1">
      <c r="B70" s="324" t="s">
        <v>17</v>
      </c>
      <c r="C70" s="4">
        <f>SUM(C51:C69)</f>
        <v>7783508.32</v>
      </c>
      <c r="D70" s="80"/>
      <c r="E70" s="4">
        <f>SUM(E51:E69)</f>
        <v>9998528.05</v>
      </c>
    </row>
    <row r="71" spans="3:5" ht="19.5" thickTop="1">
      <c r="C71" s="2"/>
      <c r="D71" s="2"/>
      <c r="E71" s="2"/>
    </row>
    <row r="72" spans="1:5" ht="18.75">
      <c r="A72" s="3" t="s">
        <v>30</v>
      </c>
      <c r="C72" s="2"/>
      <c r="D72" s="2"/>
      <c r="E72" s="2"/>
    </row>
    <row r="73" spans="2:5" ht="18.75">
      <c r="B73" s="1" t="s">
        <v>154</v>
      </c>
      <c r="C73" s="2">
        <f>16870+218720+356107+55035+180060+31574+367581.51+147925+111553.99+13160+944000</f>
        <v>2442586.5</v>
      </c>
      <c r="D73" s="2"/>
      <c r="E73" s="2">
        <f>C73+E29</f>
        <v>3249505.65</v>
      </c>
    </row>
    <row r="74" spans="2:5" ht="18.75">
      <c r="B74" s="1" t="s">
        <v>155</v>
      </c>
      <c r="C74" s="2">
        <f>2997.3+10955+2099</f>
        <v>16051.3</v>
      </c>
      <c r="D74" s="2"/>
      <c r="E74" s="2">
        <f aca="true" t="shared" si="3" ref="E74:E86">C74+E30</f>
        <v>219540.34</v>
      </c>
    </row>
    <row r="75" spans="2:5" ht="18.75">
      <c r="B75" s="1" t="s">
        <v>28</v>
      </c>
      <c r="C75" s="2"/>
      <c r="D75" s="2"/>
      <c r="E75" s="2">
        <f t="shared" si="3"/>
        <v>10000</v>
      </c>
    </row>
    <row r="76" spans="2:5" ht="18.75">
      <c r="B76" s="1" t="s">
        <v>490</v>
      </c>
      <c r="C76" s="2">
        <f>2085+69160+41700</f>
        <v>112945</v>
      </c>
      <c r="D76" s="2"/>
      <c r="E76" s="2">
        <f t="shared" si="3"/>
        <v>112945</v>
      </c>
    </row>
    <row r="77" spans="2:5" ht="18.75">
      <c r="B77" s="1" t="s">
        <v>157</v>
      </c>
      <c r="C77" s="2">
        <v>0</v>
      </c>
      <c r="D77" s="2"/>
      <c r="E77" s="2">
        <f t="shared" si="3"/>
        <v>0</v>
      </c>
    </row>
    <row r="78" spans="2:5" ht="18.75">
      <c r="B78" s="1" t="s">
        <v>158</v>
      </c>
      <c r="C78" s="2">
        <v>15600</v>
      </c>
      <c r="D78" s="2"/>
      <c r="E78" s="2">
        <f t="shared" si="3"/>
        <v>22600</v>
      </c>
    </row>
    <row r="79" spans="2:5" ht="18.75">
      <c r="B79" s="1" t="s">
        <v>159</v>
      </c>
      <c r="C79" s="2">
        <v>1013545</v>
      </c>
      <c r="D79" s="2"/>
      <c r="E79" s="2">
        <f t="shared" si="3"/>
        <v>1914945</v>
      </c>
    </row>
    <row r="80" spans="2:5" ht="18.75">
      <c r="B80" s="1" t="s">
        <v>336</v>
      </c>
      <c r="C80" s="2">
        <v>0</v>
      </c>
      <c r="D80" s="2"/>
      <c r="E80" s="2">
        <f t="shared" si="3"/>
        <v>0</v>
      </c>
    </row>
    <row r="81" spans="2:5" ht="18.75">
      <c r="B81" s="1" t="s">
        <v>58</v>
      </c>
      <c r="C81" s="2">
        <v>0</v>
      </c>
      <c r="D81" s="2"/>
      <c r="E81" s="2">
        <f t="shared" si="3"/>
        <v>0</v>
      </c>
    </row>
    <row r="82" spans="2:5" ht="18.75">
      <c r="B82" s="1" t="s">
        <v>14</v>
      </c>
      <c r="C82" s="2">
        <v>50900</v>
      </c>
      <c r="D82" s="2"/>
      <c r="E82" s="2">
        <f t="shared" si="3"/>
        <v>342400</v>
      </c>
    </row>
    <row r="83" spans="2:5" ht="18.75" hidden="1">
      <c r="B83" s="1" t="s">
        <v>388</v>
      </c>
      <c r="C83" s="2">
        <v>0</v>
      </c>
      <c r="D83" s="2"/>
      <c r="E83" s="2">
        <f t="shared" si="3"/>
        <v>0</v>
      </c>
    </row>
    <row r="84" spans="2:5" ht="18.75" hidden="1">
      <c r="B84" s="1" t="s">
        <v>389</v>
      </c>
      <c r="C84" s="2">
        <v>0</v>
      </c>
      <c r="D84" s="2"/>
      <c r="E84" s="2">
        <f t="shared" si="3"/>
        <v>0</v>
      </c>
    </row>
    <row r="85" spans="2:5" ht="18.75" hidden="1">
      <c r="B85" s="1" t="s">
        <v>349</v>
      </c>
      <c r="C85" s="2">
        <v>0</v>
      </c>
      <c r="D85" s="2"/>
      <c r="E85" s="2">
        <f t="shared" si="3"/>
        <v>0</v>
      </c>
    </row>
    <row r="86" spans="2:5" ht="18.75" hidden="1">
      <c r="B86" s="1" t="s">
        <v>365</v>
      </c>
      <c r="C86" s="2">
        <v>0</v>
      </c>
      <c r="D86" s="2"/>
      <c r="E86" s="2">
        <f t="shared" si="3"/>
        <v>0</v>
      </c>
    </row>
    <row r="87" spans="2:5" ht="19.5" thickBot="1">
      <c r="B87" s="324" t="s">
        <v>17</v>
      </c>
      <c r="C87" s="4">
        <f>SUM(C73:C86)</f>
        <v>3651627.8</v>
      </c>
      <c r="D87" s="81"/>
      <c r="E87" s="4">
        <f>SUM(E73:E86)</f>
        <v>5871935.99</v>
      </c>
    </row>
    <row r="88" spans="2:5" ht="20.25" thickBot="1" thickTop="1">
      <c r="B88" s="324" t="s">
        <v>163</v>
      </c>
      <c r="C88" s="82">
        <f>SUM(C70-C87)</f>
        <v>4131880.5200000005</v>
      </c>
      <c r="D88" s="83"/>
      <c r="E88" s="82">
        <f>SUM(E70-E87)</f>
        <v>4126592.0600000005</v>
      </c>
    </row>
    <row r="89" spans="1:5" ht="19.5" thickTop="1">
      <c r="A89" s="482" t="s">
        <v>29</v>
      </c>
      <c r="B89" s="482"/>
      <c r="C89" s="482"/>
      <c r="D89" s="482"/>
      <c r="E89" s="482"/>
    </row>
    <row r="90" spans="1:5" ht="18.75">
      <c r="A90" s="482" t="s">
        <v>150</v>
      </c>
      <c r="B90" s="482"/>
      <c r="C90" s="482"/>
      <c r="D90" s="482"/>
      <c r="E90" s="482"/>
    </row>
    <row r="91" spans="1:5" ht="18.75">
      <c r="A91" s="482" t="s">
        <v>524</v>
      </c>
      <c r="B91" s="482"/>
      <c r="C91" s="482"/>
      <c r="D91" s="482"/>
      <c r="E91" s="482"/>
    </row>
    <row r="93" spans="3:5" ht="18.75">
      <c r="C93" s="329" t="s">
        <v>139</v>
      </c>
      <c r="D93" s="329"/>
      <c r="E93" s="329" t="s">
        <v>160</v>
      </c>
    </row>
    <row r="94" ht="18.75">
      <c r="A94" s="3" t="s">
        <v>18</v>
      </c>
    </row>
    <row r="95" spans="2:6" ht="18.75">
      <c r="B95" s="1" t="s">
        <v>151</v>
      </c>
      <c r="C95" s="2">
        <f>97+21360+200+50+107996.91+41565+37000+2580+237606.86+115497.42+138006.06+104374+6841614+22446</f>
        <v>7670393.25</v>
      </c>
      <c r="D95" s="2"/>
      <c r="E95" s="2">
        <f>C95+E51</f>
        <v>12746336.190000001</v>
      </c>
      <c r="F95" s="98">
        <f>12746336.19-E95</f>
        <v>0</v>
      </c>
    </row>
    <row r="96" spans="2:5" ht="18.75">
      <c r="B96" s="1" t="s">
        <v>152</v>
      </c>
      <c r="C96" s="2">
        <f>243965+7860+1400+10000+6686.14</f>
        <v>269911.14</v>
      </c>
      <c r="D96" s="2"/>
      <c r="E96" s="2">
        <f aca="true" t="shared" si="4" ref="E96:E112">C96+E52</f>
        <v>887530.2500000001</v>
      </c>
    </row>
    <row r="97" spans="2:6" ht="18.75">
      <c r="B97" s="1" t="s">
        <v>491</v>
      </c>
      <c r="C97" s="2">
        <f>807200+296700</f>
        <v>1103900</v>
      </c>
      <c r="D97" s="2"/>
      <c r="E97" s="2">
        <f t="shared" si="4"/>
        <v>5407666</v>
      </c>
      <c r="F97" s="98">
        <f>+C95+C97</f>
        <v>8774293.25</v>
      </c>
    </row>
    <row r="98" spans="2:5" ht="18.75" hidden="1">
      <c r="B98" s="1" t="s">
        <v>153</v>
      </c>
      <c r="C98" s="2">
        <v>0</v>
      </c>
      <c r="D98" s="2"/>
      <c r="E98" s="2">
        <f t="shared" si="4"/>
        <v>0</v>
      </c>
    </row>
    <row r="99" spans="2:5" ht="18.75" hidden="1">
      <c r="B99" s="1" t="s">
        <v>324</v>
      </c>
      <c r="C99" s="2">
        <v>0</v>
      </c>
      <c r="D99" s="2"/>
      <c r="E99" s="2">
        <f t="shared" si="4"/>
        <v>0</v>
      </c>
    </row>
    <row r="100" spans="2:5" ht="18.75" hidden="1">
      <c r="B100" s="1" t="s">
        <v>309</v>
      </c>
      <c r="C100" s="2">
        <v>0</v>
      </c>
      <c r="D100" s="2"/>
      <c r="E100" s="2">
        <f t="shared" si="4"/>
        <v>0</v>
      </c>
    </row>
    <row r="101" spans="2:5" ht="18.75">
      <c r="B101" s="1" t="s">
        <v>325</v>
      </c>
      <c r="C101" s="2">
        <v>0</v>
      </c>
      <c r="D101" s="2"/>
      <c r="E101" s="2">
        <f t="shared" si="4"/>
        <v>600</v>
      </c>
    </row>
    <row r="102" spans="2:5" ht="18.75">
      <c r="B102" s="1" t="s">
        <v>330</v>
      </c>
      <c r="C102" s="2">
        <v>0</v>
      </c>
      <c r="D102" s="2"/>
      <c r="E102" s="2">
        <f t="shared" si="4"/>
        <v>0</v>
      </c>
    </row>
    <row r="103" spans="2:5" ht="18.75">
      <c r="B103" s="1" t="s">
        <v>363</v>
      </c>
      <c r="C103" s="2">
        <v>0</v>
      </c>
      <c r="D103" s="2"/>
      <c r="E103" s="2">
        <f t="shared" si="4"/>
        <v>0</v>
      </c>
    </row>
    <row r="104" spans="2:5" ht="18.75">
      <c r="B104" s="1" t="s">
        <v>329</v>
      </c>
      <c r="C104" s="2">
        <v>0</v>
      </c>
      <c r="D104" s="2"/>
      <c r="E104" s="2">
        <f t="shared" si="4"/>
        <v>0</v>
      </c>
    </row>
    <row r="105" spans="2:5" ht="18.75">
      <c r="B105" s="1" t="s">
        <v>393</v>
      </c>
      <c r="C105" s="2">
        <v>0</v>
      </c>
      <c r="D105" s="2"/>
      <c r="E105" s="2">
        <f t="shared" si="4"/>
        <v>0</v>
      </c>
    </row>
    <row r="106" spans="2:5" ht="18.75">
      <c r="B106" s="1" t="s">
        <v>473</v>
      </c>
      <c r="C106" s="2">
        <v>0</v>
      </c>
      <c r="D106" s="2"/>
      <c r="E106" s="2">
        <f t="shared" si="4"/>
        <v>600</v>
      </c>
    </row>
    <row r="107" spans="2:5" ht="18.75">
      <c r="B107" s="1" t="s">
        <v>333</v>
      </c>
      <c r="C107" s="2">
        <v>0</v>
      </c>
      <c r="D107" s="2"/>
      <c r="E107" s="2">
        <f t="shared" si="4"/>
        <v>0</v>
      </c>
    </row>
    <row r="108" spans="2:5" ht="18.75">
      <c r="B108" s="1" t="s">
        <v>321</v>
      </c>
      <c r="C108" s="2">
        <v>0</v>
      </c>
      <c r="D108" s="2"/>
      <c r="E108" s="2">
        <f t="shared" si="4"/>
        <v>0</v>
      </c>
    </row>
    <row r="109" spans="2:5" ht="18.75">
      <c r="B109" s="1" t="s">
        <v>445</v>
      </c>
      <c r="C109" s="2">
        <v>0</v>
      </c>
      <c r="D109" s="2"/>
      <c r="E109" s="2">
        <f t="shared" si="4"/>
        <v>0</v>
      </c>
    </row>
    <row r="110" spans="2:5" ht="18.75">
      <c r="B110" s="1" t="s">
        <v>446</v>
      </c>
      <c r="C110" s="2">
        <v>0</v>
      </c>
      <c r="D110" s="2"/>
      <c r="E110" s="2">
        <f t="shared" si="4"/>
        <v>0</v>
      </c>
    </row>
    <row r="111" spans="2:5" ht="18.75">
      <c r="B111" s="1" t="s">
        <v>372</v>
      </c>
      <c r="C111" s="2">
        <v>0</v>
      </c>
      <c r="D111" s="2"/>
      <c r="E111" s="2">
        <f t="shared" si="4"/>
        <v>0</v>
      </c>
    </row>
    <row r="112" spans="2:5" ht="18.75">
      <c r="B112" s="1" t="s">
        <v>460</v>
      </c>
      <c r="C112" s="2">
        <v>0</v>
      </c>
      <c r="D112" s="2"/>
      <c r="E112" s="2">
        <f t="shared" si="4"/>
        <v>0</v>
      </c>
    </row>
    <row r="113" spans="2:5" ht="18.75">
      <c r="B113" s="1" t="s">
        <v>289</v>
      </c>
      <c r="C113" s="2">
        <v>0</v>
      </c>
      <c r="D113" s="2"/>
      <c r="E113" s="2">
        <f>C113+E69</f>
        <v>0</v>
      </c>
    </row>
    <row r="114" spans="2:5" ht="19.5" thickBot="1">
      <c r="B114" s="329" t="s">
        <v>17</v>
      </c>
      <c r="C114" s="4">
        <f>SUM(C95:C113)</f>
        <v>9044204.39</v>
      </c>
      <c r="D114" s="80"/>
      <c r="E114" s="4">
        <f>SUM(E95:E113)</f>
        <v>19042732.44</v>
      </c>
    </row>
    <row r="115" spans="3:5" ht="19.5" thickTop="1">
      <c r="C115" s="2"/>
      <c r="D115" s="2"/>
      <c r="E115" s="2"/>
    </row>
    <row r="116" spans="1:5" ht="18.75">
      <c r="A116" s="3" t="s">
        <v>30</v>
      </c>
      <c r="C116" s="2"/>
      <c r="D116" s="2"/>
      <c r="E116" s="2"/>
    </row>
    <row r="117" spans="2:5" ht="18.75">
      <c r="B117" s="1" t="s">
        <v>154</v>
      </c>
      <c r="C117" s="2">
        <f>45107+218720+369872.23+30960+178820+32637+232467+131053+165587.24+5200</f>
        <v>1410423.47</v>
      </c>
      <c r="D117" s="2"/>
      <c r="E117" s="2">
        <f>C117+E73</f>
        <v>4659929.12</v>
      </c>
    </row>
    <row r="118" spans="2:5" ht="18.75">
      <c r="B118" s="1" t="s">
        <v>155</v>
      </c>
      <c r="C118" s="2">
        <f>1082.81+245927+776+4592+2100+1500</f>
        <v>255977.81</v>
      </c>
      <c r="D118" s="2"/>
      <c r="E118" s="2">
        <f aca="true" t="shared" si="5" ref="E118:E130">C118+E74</f>
        <v>475518.15</v>
      </c>
    </row>
    <row r="119" spans="2:5" ht="18.75">
      <c r="B119" s="1" t="s">
        <v>28</v>
      </c>
      <c r="C119" s="2">
        <v>328847.83</v>
      </c>
      <c r="D119" s="2"/>
      <c r="E119" s="2">
        <f t="shared" si="5"/>
        <v>338847.83</v>
      </c>
    </row>
    <row r="120" spans="2:5" ht="18.75">
      <c r="B120" s="1" t="s">
        <v>490</v>
      </c>
      <c r="C120" s="2">
        <f>130700+27000+2085+69160+41700</f>
        <v>270645</v>
      </c>
      <c r="D120" s="2"/>
      <c r="E120" s="2">
        <f t="shared" si="5"/>
        <v>383590</v>
      </c>
    </row>
    <row r="121" spans="2:5" ht="18.75">
      <c r="B121" s="1" t="s">
        <v>157</v>
      </c>
      <c r="C121" s="2">
        <v>0</v>
      </c>
      <c r="D121" s="2"/>
      <c r="E121" s="2">
        <f t="shared" si="5"/>
        <v>0</v>
      </c>
    </row>
    <row r="122" spans="2:5" ht="18.75">
      <c r="B122" s="1" t="s">
        <v>158</v>
      </c>
      <c r="C122" s="2">
        <v>7200</v>
      </c>
      <c r="D122" s="2"/>
      <c r="E122" s="2">
        <f t="shared" si="5"/>
        <v>29800</v>
      </c>
    </row>
    <row r="123" spans="2:5" ht="18.75">
      <c r="B123" s="1" t="s">
        <v>159</v>
      </c>
      <c r="C123" s="2">
        <v>0</v>
      </c>
      <c r="D123" s="2"/>
      <c r="E123" s="2">
        <f t="shared" si="5"/>
        <v>1914945</v>
      </c>
    </row>
    <row r="124" spans="2:5" ht="18.75">
      <c r="B124" s="1" t="s">
        <v>336</v>
      </c>
      <c r="C124" s="2">
        <v>735500</v>
      </c>
      <c r="D124" s="2"/>
      <c r="E124" s="2">
        <f t="shared" si="5"/>
        <v>735500</v>
      </c>
    </row>
    <row r="125" spans="2:5" ht="18.75">
      <c r="B125" s="1" t="s">
        <v>58</v>
      </c>
      <c r="C125" s="2">
        <v>0</v>
      </c>
      <c r="D125" s="2"/>
      <c r="E125" s="2">
        <f t="shared" si="5"/>
        <v>0</v>
      </c>
    </row>
    <row r="126" spans="2:5" ht="18.75">
      <c r="B126" s="1" t="s">
        <v>14</v>
      </c>
      <c r="C126" s="2">
        <v>385844</v>
      </c>
      <c r="D126" s="2"/>
      <c r="E126" s="2">
        <f t="shared" si="5"/>
        <v>728244</v>
      </c>
    </row>
    <row r="127" spans="2:5" ht="18.75">
      <c r="B127" s="1" t="s">
        <v>388</v>
      </c>
      <c r="C127" s="2">
        <v>0</v>
      </c>
      <c r="D127" s="2"/>
      <c r="E127" s="2">
        <f t="shared" si="5"/>
        <v>0</v>
      </c>
    </row>
    <row r="128" spans="2:5" ht="18.75">
      <c r="B128" s="1" t="s">
        <v>389</v>
      </c>
      <c r="C128" s="2">
        <v>0</v>
      </c>
      <c r="D128" s="2"/>
      <c r="E128" s="2">
        <f t="shared" si="5"/>
        <v>0</v>
      </c>
    </row>
    <row r="129" spans="2:5" ht="18.75">
      <c r="B129" s="1" t="s">
        <v>349</v>
      </c>
      <c r="C129" s="2">
        <v>0</v>
      </c>
      <c r="D129" s="2"/>
      <c r="E129" s="2">
        <f t="shared" si="5"/>
        <v>0</v>
      </c>
    </row>
    <row r="130" spans="2:5" ht="18.75">
      <c r="B130" s="1" t="s">
        <v>365</v>
      </c>
      <c r="C130" s="2">
        <v>0</v>
      </c>
      <c r="D130" s="2"/>
      <c r="E130" s="2">
        <f t="shared" si="5"/>
        <v>0</v>
      </c>
    </row>
    <row r="131" spans="2:5" ht="19.5" thickBot="1">
      <c r="B131" s="329" t="s">
        <v>17</v>
      </c>
      <c r="C131" s="4">
        <f>SUM(C117:C130)</f>
        <v>3394438.1100000003</v>
      </c>
      <c r="D131" s="81"/>
      <c r="E131" s="4">
        <f>SUM(E117:E130)</f>
        <v>9266374.100000001</v>
      </c>
    </row>
    <row r="132" spans="2:5" ht="20.25" thickBot="1" thickTop="1">
      <c r="B132" s="329" t="s">
        <v>163</v>
      </c>
      <c r="C132" s="82">
        <f>SUM(C114-C131)</f>
        <v>5649766.28</v>
      </c>
      <c r="D132" s="83"/>
      <c r="E132" s="82">
        <f>SUM(E114-E131)</f>
        <v>9776358.34</v>
      </c>
    </row>
    <row r="133" spans="1:5" ht="19.5" thickTop="1">
      <c r="A133" s="482" t="s">
        <v>29</v>
      </c>
      <c r="B133" s="482"/>
      <c r="C133" s="482"/>
      <c r="D133" s="482"/>
      <c r="E133" s="482"/>
    </row>
    <row r="134" spans="1:5" ht="18.75">
      <c r="A134" s="482" t="s">
        <v>150</v>
      </c>
      <c r="B134" s="482"/>
      <c r="C134" s="482"/>
      <c r="D134" s="482"/>
      <c r="E134" s="482"/>
    </row>
    <row r="135" spans="1:5" ht="18.75">
      <c r="A135" s="482" t="s">
        <v>529</v>
      </c>
      <c r="B135" s="482"/>
      <c r="C135" s="482"/>
      <c r="D135" s="482"/>
      <c r="E135" s="482"/>
    </row>
    <row r="137" spans="3:5" ht="18.75">
      <c r="C137" s="343" t="s">
        <v>139</v>
      </c>
      <c r="D137" s="343"/>
      <c r="E137" s="343" t="s">
        <v>160</v>
      </c>
    </row>
    <row r="138" ht="18.75">
      <c r="A138" s="3" t="s">
        <v>18</v>
      </c>
    </row>
    <row r="139" spans="2:5" ht="18.75">
      <c r="B139" s="1" t="s">
        <v>151</v>
      </c>
      <c r="C139" s="2">
        <v>3441258.76</v>
      </c>
      <c r="D139" s="2"/>
      <c r="E139" s="2">
        <f>C139+E95</f>
        <v>16187594.950000001</v>
      </c>
    </row>
    <row r="140" spans="2:5" ht="18.75">
      <c r="B140" s="1" t="s">
        <v>152</v>
      </c>
      <c r="C140" s="2">
        <v>283047.48</v>
      </c>
      <c r="D140" s="2"/>
      <c r="E140" s="2">
        <f aca="true" t="shared" si="6" ref="E140:E150">C140+E96</f>
        <v>1170577.73</v>
      </c>
    </row>
    <row r="141" spans="2:6" ht="18.75">
      <c r="B141" s="1" t="s">
        <v>491</v>
      </c>
      <c r="C141" s="2">
        <v>807200</v>
      </c>
      <c r="D141" s="2"/>
      <c r="E141" s="2">
        <f t="shared" si="6"/>
        <v>6214866</v>
      </c>
      <c r="F141" s="98">
        <f>+C139+C141</f>
        <v>4248458.76</v>
      </c>
    </row>
    <row r="142" spans="2:5" ht="18.75">
      <c r="B142" s="1" t="s">
        <v>153</v>
      </c>
      <c r="C142" s="2">
        <v>0</v>
      </c>
      <c r="D142" s="2"/>
      <c r="E142" s="2">
        <f t="shared" si="6"/>
        <v>0</v>
      </c>
    </row>
    <row r="143" spans="2:5" ht="18.75">
      <c r="B143" s="1" t="s">
        <v>324</v>
      </c>
      <c r="C143" s="2">
        <v>0</v>
      </c>
      <c r="D143" s="2"/>
      <c r="E143" s="2">
        <f t="shared" si="6"/>
        <v>0</v>
      </c>
    </row>
    <row r="144" spans="2:5" ht="18.75">
      <c r="B144" s="1" t="s">
        <v>309</v>
      </c>
      <c r="C144" s="2">
        <v>0</v>
      </c>
      <c r="D144" s="2"/>
      <c r="E144" s="2">
        <f t="shared" si="6"/>
        <v>0</v>
      </c>
    </row>
    <row r="145" spans="2:5" ht="18.75">
      <c r="B145" s="1" t="s">
        <v>325</v>
      </c>
      <c r="C145" s="2">
        <v>0</v>
      </c>
      <c r="D145" s="2"/>
      <c r="E145" s="2">
        <f>C145+E101</f>
        <v>600</v>
      </c>
    </row>
    <row r="146" spans="2:5" ht="18.75">
      <c r="B146" s="1" t="s">
        <v>330</v>
      </c>
      <c r="C146" s="2">
        <v>0</v>
      </c>
      <c r="D146" s="2"/>
      <c r="E146" s="2">
        <f t="shared" si="6"/>
        <v>0</v>
      </c>
    </row>
    <row r="147" spans="2:5" ht="18.75">
      <c r="B147" s="1" t="s">
        <v>363</v>
      </c>
      <c r="C147" s="2">
        <v>0</v>
      </c>
      <c r="D147" s="2"/>
      <c r="E147" s="2">
        <f t="shared" si="6"/>
        <v>0</v>
      </c>
    </row>
    <row r="148" spans="2:5" ht="18.75">
      <c r="B148" s="1" t="s">
        <v>329</v>
      </c>
      <c r="C148" s="2">
        <v>0</v>
      </c>
      <c r="D148" s="2"/>
      <c r="E148" s="2">
        <f t="shared" si="6"/>
        <v>0</v>
      </c>
    </row>
    <row r="149" spans="2:5" ht="18.75">
      <c r="B149" s="1" t="s">
        <v>393</v>
      </c>
      <c r="C149" s="2">
        <v>0</v>
      </c>
      <c r="D149" s="2"/>
      <c r="E149" s="2">
        <f t="shared" si="6"/>
        <v>0</v>
      </c>
    </row>
    <row r="150" spans="2:5" ht="18.75">
      <c r="B150" s="1" t="s">
        <v>473</v>
      </c>
      <c r="C150" s="2">
        <v>0</v>
      </c>
      <c r="D150" s="2"/>
      <c r="E150" s="2">
        <f t="shared" si="6"/>
        <v>600</v>
      </c>
    </row>
    <row r="151" spans="2:5" ht="18.75">
      <c r="B151" s="1" t="s">
        <v>289</v>
      </c>
      <c r="C151" s="2">
        <v>0</v>
      </c>
      <c r="D151" s="2"/>
      <c r="E151" s="2">
        <f>C151+E113</f>
        <v>0</v>
      </c>
    </row>
    <row r="152" spans="2:6" ht="19.5" thickBot="1">
      <c r="B152" s="343" t="s">
        <v>17</v>
      </c>
      <c r="C152" s="4">
        <f>SUM(C139:C151)</f>
        <v>4531506.24</v>
      </c>
      <c r="D152" s="80"/>
      <c r="E152" s="4">
        <f>SUM(E139:E151)</f>
        <v>23574238.68</v>
      </c>
      <c r="F152" s="98">
        <f>4531506.24-C152</f>
        <v>0</v>
      </c>
    </row>
    <row r="153" spans="3:5" ht="19.5" thickTop="1">
      <c r="C153" s="2"/>
      <c r="D153" s="2"/>
      <c r="E153" s="2"/>
    </row>
    <row r="154" spans="1:5" ht="18.75">
      <c r="A154" s="3" t="s">
        <v>30</v>
      </c>
      <c r="C154" s="2"/>
      <c r="D154" s="2"/>
      <c r="E154" s="2"/>
    </row>
    <row r="155" spans="2:5" ht="18.75">
      <c r="B155" s="1" t="s">
        <v>154</v>
      </c>
      <c r="C155" s="2">
        <f>119897+218720+367099+30960+204230+30700+623284.55+158494+86920.98+216170+53000+1025000-15600</f>
        <v>3118875.5300000003</v>
      </c>
      <c r="D155" s="2"/>
      <c r="E155" s="2">
        <f aca="true" t="shared" si="7" ref="E155:E168">C155+E117</f>
        <v>7778804.65</v>
      </c>
    </row>
    <row r="156" spans="2:5" ht="18.75">
      <c r="B156" s="1" t="s">
        <v>155</v>
      </c>
      <c r="C156" s="2">
        <v>13870.14</v>
      </c>
      <c r="D156" s="2"/>
      <c r="E156" s="2">
        <f t="shared" si="7"/>
        <v>489388.29000000004</v>
      </c>
    </row>
    <row r="157" spans="2:5" ht="18.75">
      <c r="B157" s="1" t="s">
        <v>28</v>
      </c>
      <c r="C157" s="2">
        <v>182500</v>
      </c>
      <c r="D157" s="2"/>
      <c r="E157" s="2">
        <f t="shared" si="7"/>
        <v>521347.83</v>
      </c>
    </row>
    <row r="158" spans="2:5" ht="18.75">
      <c r="B158" s="1" t="s">
        <v>490</v>
      </c>
      <c r="C158" s="2">
        <f>129700+91800</f>
        <v>221500</v>
      </c>
      <c r="D158" s="2"/>
      <c r="E158" s="2">
        <f t="shared" si="7"/>
        <v>605090</v>
      </c>
    </row>
    <row r="159" spans="2:5" ht="18.75">
      <c r="B159" s="1" t="s">
        <v>157</v>
      </c>
      <c r="C159" s="2">
        <v>0</v>
      </c>
      <c r="D159" s="2"/>
      <c r="E159" s="2">
        <f t="shared" si="7"/>
        <v>0</v>
      </c>
    </row>
    <row r="160" spans="2:5" ht="18.75">
      <c r="B160" s="1" t="s">
        <v>158</v>
      </c>
      <c r="C160" s="2">
        <f>22260+15600</f>
        <v>37860</v>
      </c>
      <c r="D160" s="2"/>
      <c r="E160" s="2">
        <f t="shared" si="7"/>
        <v>67660</v>
      </c>
    </row>
    <row r="161" spans="2:5" ht="18.75">
      <c r="B161" s="1" t="s">
        <v>159</v>
      </c>
      <c r="C161" s="2">
        <v>103116</v>
      </c>
      <c r="D161" s="2"/>
      <c r="E161" s="2">
        <f t="shared" si="7"/>
        <v>2018061</v>
      </c>
    </row>
    <row r="162" spans="2:5" ht="18.75">
      <c r="B162" s="1" t="s">
        <v>336</v>
      </c>
      <c r="C162" s="2">
        <v>876700</v>
      </c>
      <c r="D162" s="2"/>
      <c r="E162" s="2">
        <f t="shared" si="7"/>
        <v>1612200</v>
      </c>
    </row>
    <row r="163" spans="2:5" ht="18.75">
      <c r="B163" s="1" t="s">
        <v>58</v>
      </c>
      <c r="C163" s="2">
        <v>0</v>
      </c>
      <c r="D163" s="2"/>
      <c r="E163" s="2">
        <f t="shared" si="7"/>
        <v>0</v>
      </c>
    </row>
    <row r="164" spans="2:5" ht="18.75">
      <c r="B164" s="1" t="s">
        <v>14</v>
      </c>
      <c r="C164" s="2">
        <v>324000</v>
      </c>
      <c r="D164" s="2"/>
      <c r="E164" s="2">
        <f t="shared" si="7"/>
        <v>1052244</v>
      </c>
    </row>
    <row r="165" spans="2:5" ht="18.75">
      <c r="B165" s="1" t="s">
        <v>388</v>
      </c>
      <c r="C165" s="2">
        <v>0</v>
      </c>
      <c r="D165" s="2"/>
      <c r="E165" s="2">
        <f t="shared" si="7"/>
        <v>0</v>
      </c>
    </row>
    <row r="166" spans="2:5" ht="18.75">
      <c r="B166" s="1" t="s">
        <v>389</v>
      </c>
      <c r="C166" s="2">
        <v>0</v>
      </c>
      <c r="D166" s="2"/>
      <c r="E166" s="2">
        <f t="shared" si="7"/>
        <v>0</v>
      </c>
    </row>
    <row r="167" spans="2:5" ht="18.75">
      <c r="B167" s="1" t="s">
        <v>349</v>
      </c>
      <c r="C167" s="2">
        <v>0</v>
      </c>
      <c r="D167" s="2"/>
      <c r="E167" s="2">
        <f t="shared" si="7"/>
        <v>0</v>
      </c>
    </row>
    <row r="168" spans="2:5" ht="18.75">
      <c r="B168" s="1" t="s">
        <v>365</v>
      </c>
      <c r="C168" s="2">
        <v>0</v>
      </c>
      <c r="D168" s="2"/>
      <c r="E168" s="2">
        <f t="shared" si="7"/>
        <v>0</v>
      </c>
    </row>
    <row r="169" spans="2:5" ht="19.5" thickBot="1">
      <c r="B169" s="343" t="s">
        <v>17</v>
      </c>
      <c r="C169" s="4">
        <f>SUM(C155:C168)</f>
        <v>4878421.67</v>
      </c>
      <c r="D169" s="81"/>
      <c r="E169" s="4">
        <f>SUM(E155:E168)</f>
        <v>14144795.77</v>
      </c>
    </row>
    <row r="170" spans="2:5" ht="20.25" thickBot="1" thickTop="1">
      <c r="B170" s="343" t="s">
        <v>163</v>
      </c>
      <c r="C170" s="82">
        <f>SUM(C152-C169)</f>
        <v>-346915.4299999997</v>
      </c>
      <c r="D170" s="83"/>
      <c r="E170" s="82">
        <f>SUM(E152-E169)</f>
        <v>9429442.91</v>
      </c>
    </row>
    <row r="171" spans="1:5" ht="19.5" thickTop="1">
      <c r="A171" s="482" t="s">
        <v>29</v>
      </c>
      <c r="B171" s="482"/>
      <c r="C171" s="482"/>
      <c r="D171" s="482"/>
      <c r="E171" s="482"/>
    </row>
    <row r="172" spans="1:5" ht="18.75">
      <c r="A172" s="482" t="s">
        <v>150</v>
      </c>
      <c r="B172" s="482"/>
      <c r="C172" s="482"/>
      <c r="D172" s="482"/>
      <c r="E172" s="482"/>
    </row>
    <row r="173" spans="1:5" ht="18.75">
      <c r="A173" s="482" t="s">
        <v>552</v>
      </c>
      <c r="B173" s="482"/>
      <c r="C173" s="482"/>
      <c r="D173" s="482"/>
      <c r="E173" s="482"/>
    </row>
    <row r="175" spans="3:5" ht="18.75">
      <c r="C175" s="362" t="s">
        <v>139</v>
      </c>
      <c r="D175" s="362"/>
      <c r="E175" s="362" t="s">
        <v>160</v>
      </c>
    </row>
    <row r="176" ht="18.75">
      <c r="A176" s="3" t="s">
        <v>18</v>
      </c>
    </row>
    <row r="177" spans="2:6" ht="18.75">
      <c r="B177" s="1" t="s">
        <v>151</v>
      </c>
      <c r="C177" s="2">
        <f>72734.59+19358.2+63100+14615+1411122.75</f>
        <v>1580930.54</v>
      </c>
      <c r="D177" s="2"/>
      <c r="E177" s="2">
        <f>C177+E139</f>
        <v>17768525.490000002</v>
      </c>
      <c r="F177" s="98">
        <f>+C177+C179+C180</f>
        <v>1942195.54</v>
      </c>
    </row>
    <row r="178" spans="2:5" ht="18.75">
      <c r="B178" s="1" t="s">
        <v>152</v>
      </c>
      <c r="C178" s="2">
        <v>365253.19</v>
      </c>
      <c r="D178" s="2"/>
      <c r="E178" s="2">
        <f aca="true" t="shared" si="8" ref="E178:E189">C178+E140</f>
        <v>1535830.92</v>
      </c>
    </row>
    <row r="179" spans="2:5" ht="18.75">
      <c r="B179" s="1" t="s">
        <v>491</v>
      </c>
      <c r="C179" s="2">
        <v>321265</v>
      </c>
      <c r="D179" s="2"/>
      <c r="E179" s="2">
        <f t="shared" si="8"/>
        <v>6536131</v>
      </c>
    </row>
    <row r="180" spans="2:5" ht="18.75">
      <c r="B180" s="1" t="s">
        <v>153</v>
      </c>
      <c r="C180" s="2">
        <v>40000</v>
      </c>
      <c r="D180" s="2"/>
      <c r="E180" s="2">
        <f t="shared" si="8"/>
        <v>40000</v>
      </c>
    </row>
    <row r="181" spans="2:5" ht="18.75">
      <c r="B181" s="1" t="s">
        <v>324</v>
      </c>
      <c r="C181" s="2">
        <v>46.01</v>
      </c>
      <c r="D181" s="2"/>
      <c r="E181" s="2">
        <f t="shared" si="8"/>
        <v>46.01</v>
      </c>
    </row>
    <row r="182" spans="2:5" ht="18.75">
      <c r="B182" s="1" t="s">
        <v>309</v>
      </c>
      <c r="C182" s="2">
        <v>0</v>
      </c>
      <c r="D182" s="2"/>
      <c r="E182" s="2">
        <f t="shared" si="8"/>
        <v>0</v>
      </c>
    </row>
    <row r="183" spans="2:5" ht="18.75">
      <c r="B183" s="1" t="s">
        <v>325</v>
      </c>
      <c r="C183" s="2">
        <v>0</v>
      </c>
      <c r="D183" s="2"/>
      <c r="E183" s="2">
        <f t="shared" si="8"/>
        <v>600</v>
      </c>
    </row>
    <row r="184" spans="2:5" ht="18.75">
      <c r="B184" s="1" t="s">
        <v>330</v>
      </c>
      <c r="C184" s="2">
        <v>0</v>
      </c>
      <c r="D184" s="2"/>
      <c r="E184" s="2">
        <f t="shared" si="8"/>
        <v>0</v>
      </c>
    </row>
    <row r="185" spans="2:5" ht="18.75">
      <c r="B185" s="1" t="s">
        <v>363</v>
      </c>
      <c r="C185" s="2">
        <v>0</v>
      </c>
      <c r="D185" s="2"/>
      <c r="E185" s="2">
        <f t="shared" si="8"/>
        <v>0</v>
      </c>
    </row>
    <row r="186" spans="2:5" ht="18.75">
      <c r="B186" s="1" t="s">
        <v>329</v>
      </c>
      <c r="C186" s="2">
        <v>0</v>
      </c>
      <c r="D186" s="2"/>
      <c r="E186" s="2">
        <f t="shared" si="8"/>
        <v>0</v>
      </c>
    </row>
    <row r="187" spans="2:5" ht="18.75">
      <c r="B187" s="1" t="s">
        <v>393</v>
      </c>
      <c r="C187" s="2">
        <v>0</v>
      </c>
      <c r="D187" s="2"/>
      <c r="E187" s="2">
        <f t="shared" si="8"/>
        <v>0</v>
      </c>
    </row>
    <row r="188" spans="2:5" ht="18.75">
      <c r="B188" s="1" t="s">
        <v>473</v>
      </c>
      <c r="C188" s="2">
        <v>0</v>
      </c>
      <c r="D188" s="2"/>
      <c r="E188" s="2">
        <f t="shared" si="8"/>
        <v>600</v>
      </c>
    </row>
    <row r="189" spans="2:5" ht="18.75">
      <c r="B189" s="1" t="s">
        <v>289</v>
      </c>
      <c r="C189" s="2">
        <v>10.8</v>
      </c>
      <c r="D189" s="2"/>
      <c r="E189" s="2">
        <f t="shared" si="8"/>
        <v>10.8</v>
      </c>
    </row>
    <row r="190" spans="2:5" ht="19.5" thickBot="1">
      <c r="B190" s="362" t="s">
        <v>17</v>
      </c>
      <c r="C190" s="4">
        <f>SUM(C177:C189)</f>
        <v>2307505.5399999996</v>
      </c>
      <c r="D190" s="80"/>
      <c r="E190" s="4">
        <f>SUM(E177:E189)</f>
        <v>25881744.220000006</v>
      </c>
    </row>
    <row r="191" spans="3:5" ht="19.5" thickTop="1">
      <c r="C191" s="2"/>
      <c r="D191" s="2"/>
      <c r="E191" s="2"/>
    </row>
    <row r="192" spans="1:5" ht="18.75">
      <c r="A192" s="3" t="s">
        <v>30</v>
      </c>
      <c r="C192" s="2"/>
      <c r="D192" s="2"/>
      <c r="E192" s="2"/>
    </row>
    <row r="193" spans="2:5" ht="18.75">
      <c r="B193" s="1" t="s">
        <v>154</v>
      </c>
      <c r="C193" s="2">
        <f>20099+218720+361591+30960+233235+34800+229691.35+79121.36+78586.86+70850</f>
        <v>1357654.5700000003</v>
      </c>
      <c r="D193" s="2"/>
      <c r="E193" s="2">
        <f>C193+E155</f>
        <v>9136459.22</v>
      </c>
    </row>
    <row r="194" spans="2:5" ht="18.75">
      <c r="B194" s="1" t="s">
        <v>155</v>
      </c>
      <c r="C194" s="2">
        <f>196460.85+18600</f>
        <v>215060.85</v>
      </c>
      <c r="D194" s="2"/>
      <c r="E194" s="2">
        <f aca="true" t="shared" si="9" ref="E194:E206">C194+E156</f>
        <v>704449.14</v>
      </c>
    </row>
    <row r="195" spans="2:5" ht="18.75">
      <c r="B195" s="1" t="s">
        <v>28</v>
      </c>
      <c r="C195" s="2">
        <v>0</v>
      </c>
      <c r="D195" s="2"/>
      <c r="E195" s="2">
        <f t="shared" si="9"/>
        <v>521347.83</v>
      </c>
    </row>
    <row r="196" spans="2:5" ht="18.75">
      <c r="B196" s="1" t="s">
        <v>490</v>
      </c>
      <c r="C196" s="2">
        <f>127900+69160</f>
        <v>197060</v>
      </c>
      <c r="D196" s="2"/>
      <c r="E196" s="2">
        <f t="shared" si="9"/>
        <v>802150</v>
      </c>
    </row>
    <row r="197" spans="2:5" ht="18.75">
      <c r="B197" s="1" t="s">
        <v>157</v>
      </c>
      <c r="C197" s="2">
        <v>0</v>
      </c>
      <c r="D197" s="2"/>
      <c r="E197" s="2">
        <f t="shared" si="9"/>
        <v>0</v>
      </c>
    </row>
    <row r="198" spans="2:5" ht="18.75">
      <c r="B198" s="1" t="s">
        <v>158</v>
      </c>
      <c r="C198" s="2">
        <v>11400</v>
      </c>
      <c r="D198" s="2"/>
      <c r="E198" s="2">
        <f t="shared" si="9"/>
        <v>79060</v>
      </c>
    </row>
    <row r="199" spans="2:5" ht="18.75">
      <c r="B199" s="1" t="s">
        <v>159</v>
      </c>
      <c r="C199" s="2">
        <v>177600</v>
      </c>
      <c r="D199" s="2"/>
      <c r="E199" s="2">
        <f t="shared" si="9"/>
        <v>2195661</v>
      </c>
    </row>
    <row r="200" spans="2:5" ht="18.75">
      <c r="B200" s="1" t="s">
        <v>336</v>
      </c>
      <c r="C200" s="2">
        <v>669200</v>
      </c>
      <c r="D200" s="2"/>
      <c r="E200" s="2">
        <f t="shared" si="9"/>
        <v>2281400</v>
      </c>
    </row>
    <row r="201" spans="2:5" ht="18.75">
      <c r="B201" s="1" t="s">
        <v>58</v>
      </c>
      <c r="C201" s="2">
        <v>0</v>
      </c>
      <c r="D201" s="2"/>
      <c r="E201" s="2">
        <f t="shared" si="9"/>
        <v>0</v>
      </c>
    </row>
    <row r="202" spans="2:5" ht="18.75">
      <c r="B202" s="1" t="s">
        <v>14</v>
      </c>
      <c r="C202" s="2">
        <v>0</v>
      </c>
      <c r="D202" s="2"/>
      <c r="E202" s="2">
        <f t="shared" si="9"/>
        <v>1052244</v>
      </c>
    </row>
    <row r="203" spans="2:5" ht="18.75" hidden="1">
      <c r="B203" s="1" t="s">
        <v>388</v>
      </c>
      <c r="C203" s="2">
        <v>0</v>
      </c>
      <c r="D203" s="2"/>
      <c r="E203" s="2">
        <f t="shared" si="9"/>
        <v>0</v>
      </c>
    </row>
    <row r="204" spans="2:5" ht="18.75" hidden="1">
      <c r="B204" s="1" t="s">
        <v>389</v>
      </c>
      <c r="C204" s="2">
        <v>0</v>
      </c>
      <c r="D204" s="2"/>
      <c r="E204" s="2">
        <f t="shared" si="9"/>
        <v>0</v>
      </c>
    </row>
    <row r="205" spans="2:5" ht="18.75">
      <c r="B205" s="1" t="s">
        <v>349</v>
      </c>
      <c r="C205" s="2">
        <v>0</v>
      </c>
      <c r="D205" s="2"/>
      <c r="E205" s="2">
        <f t="shared" si="9"/>
        <v>0</v>
      </c>
    </row>
    <row r="206" spans="2:5" ht="18.75">
      <c r="B206" s="1" t="s">
        <v>365</v>
      </c>
      <c r="C206" s="2">
        <v>0</v>
      </c>
      <c r="D206" s="2"/>
      <c r="E206" s="2">
        <f t="shared" si="9"/>
        <v>0</v>
      </c>
    </row>
    <row r="207" spans="2:5" ht="19.5" thickBot="1">
      <c r="B207" s="362" t="s">
        <v>17</v>
      </c>
      <c r="C207" s="4">
        <f>SUM(C193:C206)</f>
        <v>2627975.4200000004</v>
      </c>
      <c r="D207" s="81"/>
      <c r="E207" s="4">
        <f>SUM(E193:E206)</f>
        <v>16772771.190000001</v>
      </c>
    </row>
    <row r="208" spans="2:6" ht="20.25" thickBot="1" thickTop="1">
      <c r="B208" s="362" t="s">
        <v>163</v>
      </c>
      <c r="C208" s="82">
        <f>SUM(C190-C207)</f>
        <v>-320469.8800000008</v>
      </c>
      <c r="D208" s="83"/>
      <c r="E208" s="82">
        <f>SUM(E190-E207)</f>
        <v>9108973.030000005</v>
      </c>
      <c r="F208" s="98">
        <f>+E170</f>
        <v>9429442.91</v>
      </c>
    </row>
    <row r="209" spans="1:5" ht="19.5" thickTop="1">
      <c r="A209" s="482" t="s">
        <v>29</v>
      </c>
      <c r="B209" s="482"/>
      <c r="C209" s="482"/>
      <c r="D209" s="482"/>
      <c r="E209" s="482"/>
    </row>
    <row r="210" spans="1:5" ht="18.75">
      <c r="A210" s="482" t="s">
        <v>150</v>
      </c>
      <c r="B210" s="482"/>
      <c r="C210" s="482"/>
      <c r="D210" s="482"/>
      <c r="E210" s="482"/>
    </row>
    <row r="211" spans="1:5" ht="18.75">
      <c r="A211" s="482" t="s">
        <v>570</v>
      </c>
      <c r="B211" s="482"/>
      <c r="C211" s="482"/>
      <c r="D211" s="482"/>
      <c r="E211" s="482"/>
    </row>
    <row r="213" spans="3:5" ht="18.75">
      <c r="C213" s="382" t="s">
        <v>139</v>
      </c>
      <c r="D213" s="382"/>
      <c r="E213" s="382" t="s">
        <v>160</v>
      </c>
    </row>
    <row r="214" ht="18.75">
      <c r="A214" s="3" t="s">
        <v>18</v>
      </c>
    </row>
    <row r="215" spans="2:6" ht="18.75">
      <c r="B215" s="1" t="s">
        <v>151</v>
      </c>
      <c r="C215" s="2">
        <f>67653+4810.18+1728+18200+260+150+760+200+10461.79+24305+20+605665.98+266578.98+155808.45+217774.21+13551+19500+3788210+138750+800</f>
        <v>5335186.59</v>
      </c>
      <c r="D215" s="2"/>
      <c r="E215" s="2">
        <f>C215+E177</f>
        <v>23103712.080000002</v>
      </c>
      <c r="F215" s="98">
        <f>5335186.59-C215</f>
        <v>0</v>
      </c>
    </row>
    <row r="216" spans="2:5" ht="18.75">
      <c r="B216" s="1" t="s">
        <v>152</v>
      </c>
      <c r="C216" s="2">
        <v>271335.11</v>
      </c>
      <c r="D216" s="2"/>
      <c r="E216" s="2">
        <f aca="true" t="shared" si="10" ref="E216:E227">C216+E178</f>
        <v>1807166.0299999998</v>
      </c>
    </row>
    <row r="217" spans="2:5" ht="18.75">
      <c r="B217" s="1" t="s">
        <v>491</v>
      </c>
      <c r="C217" s="2">
        <f>1614400+417600+83400+4170+50000</f>
        <v>2169570</v>
      </c>
      <c r="D217" s="2"/>
      <c r="E217" s="2">
        <f t="shared" si="10"/>
        <v>8705701</v>
      </c>
    </row>
    <row r="218" spans="2:5" ht="18.75">
      <c r="B218" s="1" t="s">
        <v>153</v>
      </c>
      <c r="C218" s="2">
        <f>2130000+1980000</f>
        <v>4110000</v>
      </c>
      <c r="D218" s="2"/>
      <c r="E218" s="2">
        <f t="shared" si="10"/>
        <v>4150000</v>
      </c>
    </row>
    <row r="219" spans="2:5" ht="18.75">
      <c r="B219" s="1" t="s">
        <v>324</v>
      </c>
      <c r="C219" s="2">
        <v>0</v>
      </c>
      <c r="D219" s="2"/>
      <c r="E219" s="2">
        <f t="shared" si="10"/>
        <v>46.01</v>
      </c>
    </row>
    <row r="220" spans="2:5" ht="18.75">
      <c r="B220" s="1" t="s">
        <v>309</v>
      </c>
      <c r="C220" s="2">
        <v>0</v>
      </c>
      <c r="D220" s="2"/>
      <c r="E220" s="2">
        <f t="shared" si="10"/>
        <v>0</v>
      </c>
    </row>
    <row r="221" spans="2:5" ht="18.75">
      <c r="B221" s="1" t="s">
        <v>325</v>
      </c>
      <c r="C221" s="2">
        <v>0</v>
      </c>
      <c r="D221" s="2"/>
      <c r="E221" s="2">
        <f t="shared" si="10"/>
        <v>600</v>
      </c>
    </row>
    <row r="222" spans="2:5" ht="18.75">
      <c r="B222" s="1" t="s">
        <v>330</v>
      </c>
      <c r="C222" s="2">
        <v>0</v>
      </c>
      <c r="D222" s="2"/>
      <c r="E222" s="2">
        <f t="shared" si="10"/>
        <v>0</v>
      </c>
    </row>
    <row r="223" spans="2:5" ht="18.75">
      <c r="B223" s="1" t="s">
        <v>363</v>
      </c>
      <c r="C223" s="2">
        <v>0</v>
      </c>
      <c r="D223" s="2"/>
      <c r="E223" s="2">
        <f t="shared" si="10"/>
        <v>0</v>
      </c>
    </row>
    <row r="224" spans="2:5" ht="18.75">
      <c r="B224" s="1" t="s">
        <v>329</v>
      </c>
      <c r="C224" s="2">
        <v>311.35</v>
      </c>
      <c r="D224" s="2"/>
      <c r="E224" s="2">
        <f t="shared" si="10"/>
        <v>311.35</v>
      </c>
    </row>
    <row r="225" spans="2:5" ht="18.75">
      <c r="B225" s="1" t="s">
        <v>393</v>
      </c>
      <c r="C225" s="2">
        <v>0</v>
      </c>
      <c r="D225" s="2"/>
      <c r="E225" s="2">
        <f t="shared" si="10"/>
        <v>0</v>
      </c>
    </row>
    <row r="226" spans="2:5" ht="18.75">
      <c r="B226" s="1" t="s">
        <v>473</v>
      </c>
      <c r="C226" s="2">
        <v>0</v>
      </c>
      <c r="D226" s="2"/>
      <c r="E226" s="2">
        <f t="shared" si="10"/>
        <v>600</v>
      </c>
    </row>
    <row r="227" spans="2:5" ht="18.75">
      <c r="B227" s="1" t="s">
        <v>289</v>
      </c>
      <c r="C227" s="2"/>
      <c r="D227" s="2"/>
      <c r="E227" s="2">
        <f t="shared" si="10"/>
        <v>10.8</v>
      </c>
    </row>
    <row r="228" spans="2:5" ht="19.5" thickBot="1">
      <c r="B228" s="382" t="s">
        <v>17</v>
      </c>
      <c r="C228" s="4">
        <f>SUM(C215:C227)</f>
        <v>11886403.049999999</v>
      </c>
      <c r="D228" s="80"/>
      <c r="E228" s="4">
        <f>SUM(E215:E227)</f>
        <v>37768147.269999996</v>
      </c>
    </row>
    <row r="229" spans="3:5" ht="19.5" thickTop="1">
      <c r="C229" s="2"/>
      <c r="D229" s="2"/>
      <c r="E229" s="2"/>
    </row>
    <row r="230" spans="1:5" ht="18.75">
      <c r="A230" s="3" t="s">
        <v>30</v>
      </c>
      <c r="C230" s="2"/>
      <c r="D230" s="2"/>
      <c r="E230" s="2"/>
    </row>
    <row r="231" spans="2:5" ht="18.75">
      <c r="B231" s="1" t="s">
        <v>154</v>
      </c>
      <c r="C231" s="2">
        <f>20671+218720+360385+30960+246100+40000+167641.25+136718.96+93680.32+96200+133900+268000</f>
        <v>1812976.53</v>
      </c>
      <c r="D231" s="2"/>
      <c r="E231" s="2">
        <f>C231+E193</f>
        <v>10949435.75</v>
      </c>
    </row>
    <row r="232" spans="2:5" ht="18.75">
      <c r="B232" s="1" t="s">
        <v>155</v>
      </c>
      <c r="C232" s="2">
        <v>248706.01</v>
      </c>
      <c r="D232" s="2"/>
      <c r="E232" s="2">
        <f aca="true" t="shared" si="11" ref="E232:E244">C232+E194</f>
        <v>953155.15</v>
      </c>
    </row>
    <row r="233" spans="2:5" ht="18.75">
      <c r="B233" s="1" t="s">
        <v>28</v>
      </c>
      <c r="C233" s="2">
        <v>0</v>
      </c>
      <c r="D233" s="2"/>
      <c r="E233" s="2">
        <f t="shared" si="11"/>
        <v>521347.83</v>
      </c>
    </row>
    <row r="234" spans="2:5" ht="18.75">
      <c r="B234" s="1" t="s">
        <v>490</v>
      </c>
      <c r="C234" s="2">
        <f>3080+69160+61600+1103000</f>
        <v>1236840</v>
      </c>
      <c r="D234" s="2"/>
      <c r="E234" s="2">
        <f t="shared" si="11"/>
        <v>2038990</v>
      </c>
    </row>
    <row r="235" spans="2:5" ht="18.75">
      <c r="B235" s="1" t="s">
        <v>157</v>
      </c>
      <c r="C235" s="2">
        <v>4110000</v>
      </c>
      <c r="D235" s="2"/>
      <c r="E235" s="2">
        <f t="shared" si="11"/>
        <v>4110000</v>
      </c>
    </row>
    <row r="236" spans="2:5" ht="18.75">
      <c r="B236" s="1" t="s">
        <v>158</v>
      </c>
      <c r="C236" s="2">
        <v>39328</v>
      </c>
      <c r="D236" s="2"/>
      <c r="E236" s="2">
        <f t="shared" si="11"/>
        <v>118388</v>
      </c>
    </row>
    <row r="237" spans="2:5" ht="18.75">
      <c r="B237" s="1" t="s">
        <v>159</v>
      </c>
      <c r="C237" s="2">
        <v>929800</v>
      </c>
      <c r="D237" s="2"/>
      <c r="E237" s="2">
        <f t="shared" si="11"/>
        <v>3125461</v>
      </c>
    </row>
    <row r="238" spans="2:5" ht="18.75">
      <c r="B238" s="1" t="s">
        <v>336</v>
      </c>
      <c r="C238" s="2">
        <v>0</v>
      </c>
      <c r="D238" s="2"/>
      <c r="E238" s="2">
        <f t="shared" si="11"/>
        <v>2281400</v>
      </c>
    </row>
    <row r="239" spans="2:5" ht="18.75">
      <c r="B239" s="1" t="s">
        <v>58</v>
      </c>
      <c r="C239" s="2">
        <v>0</v>
      </c>
      <c r="D239" s="2"/>
      <c r="E239" s="2">
        <f t="shared" si="11"/>
        <v>0</v>
      </c>
    </row>
    <row r="240" spans="2:5" ht="18.75">
      <c r="B240" s="1" t="s">
        <v>14</v>
      </c>
      <c r="C240" s="2">
        <v>486300</v>
      </c>
      <c r="D240" s="2"/>
      <c r="E240" s="2">
        <f t="shared" si="11"/>
        <v>1538544</v>
      </c>
    </row>
    <row r="241" spans="2:5" ht="18.75">
      <c r="B241" s="1" t="s">
        <v>388</v>
      </c>
      <c r="C241" s="2">
        <v>0</v>
      </c>
      <c r="D241" s="2"/>
      <c r="E241" s="2">
        <f t="shared" si="11"/>
        <v>0</v>
      </c>
    </row>
    <row r="242" spans="2:5" ht="18.75">
      <c r="B242" s="1" t="s">
        <v>389</v>
      </c>
      <c r="C242" s="2">
        <v>0</v>
      </c>
      <c r="D242" s="2"/>
      <c r="E242" s="2">
        <f t="shared" si="11"/>
        <v>0</v>
      </c>
    </row>
    <row r="243" spans="2:5" ht="18.75">
      <c r="B243" s="1" t="s">
        <v>349</v>
      </c>
      <c r="C243" s="2">
        <v>0</v>
      </c>
      <c r="D243" s="2"/>
      <c r="E243" s="2">
        <f t="shared" si="11"/>
        <v>0</v>
      </c>
    </row>
    <row r="244" spans="2:5" ht="18.75">
      <c r="B244" s="1" t="s">
        <v>365</v>
      </c>
      <c r="C244" s="2">
        <v>0</v>
      </c>
      <c r="D244" s="2"/>
      <c r="E244" s="2">
        <f t="shared" si="11"/>
        <v>0</v>
      </c>
    </row>
    <row r="245" spans="2:5" ht="19.5" thickBot="1">
      <c r="B245" s="382" t="s">
        <v>17</v>
      </c>
      <c r="C245" s="4">
        <f>SUM(C231:C244)</f>
        <v>8863950.54</v>
      </c>
      <c r="D245" s="81"/>
      <c r="E245" s="4">
        <f>SUM(E231:E244)</f>
        <v>25636721.73</v>
      </c>
    </row>
    <row r="246" spans="2:5" ht="20.25" thickBot="1" thickTop="1">
      <c r="B246" s="382" t="s">
        <v>163</v>
      </c>
      <c r="C246" s="82">
        <f>SUM(C228-C245)</f>
        <v>3022452.51</v>
      </c>
      <c r="D246" s="83"/>
      <c r="E246" s="82">
        <f>SUM(E228-E245)</f>
        <v>12131425.539999995</v>
      </c>
    </row>
    <row r="247" spans="1:5" ht="19.5" thickTop="1">
      <c r="A247" s="482" t="s">
        <v>29</v>
      </c>
      <c r="B247" s="482"/>
      <c r="C247" s="482"/>
      <c r="D247" s="482"/>
      <c r="E247" s="482"/>
    </row>
    <row r="248" spans="1:5" ht="18.75">
      <c r="A248" s="482" t="s">
        <v>150</v>
      </c>
      <c r="B248" s="482"/>
      <c r="C248" s="482"/>
      <c r="D248" s="482"/>
      <c r="E248" s="482"/>
    </row>
    <row r="249" spans="1:5" ht="18.75">
      <c r="A249" s="482" t="s">
        <v>579</v>
      </c>
      <c r="B249" s="482"/>
      <c r="C249" s="482"/>
      <c r="D249" s="482"/>
      <c r="E249" s="482"/>
    </row>
    <row r="251" spans="3:5" ht="18.75">
      <c r="C251" s="398" t="s">
        <v>139</v>
      </c>
      <c r="D251" s="398"/>
      <c r="E251" s="398" t="s">
        <v>160</v>
      </c>
    </row>
    <row r="252" ht="18.75">
      <c r="A252" s="3" t="s">
        <v>18</v>
      </c>
    </row>
    <row r="253" spans="2:6" ht="18.75">
      <c r="B253" s="1" t="s">
        <v>151</v>
      </c>
      <c r="C253" s="2">
        <f>8032.08+2349.25+15940+280+20+20995+520+144080+635702.19+259822.27+33190.85+193848.07+267838.17+19355.62+21496+515270+1189000</f>
        <v>3327739.5</v>
      </c>
      <c r="D253" s="2"/>
      <c r="E253" s="2">
        <f>C253+E215</f>
        <v>26431451.580000002</v>
      </c>
      <c r="F253" s="98">
        <f>+C253+C255</f>
        <v>3840893.5</v>
      </c>
    </row>
    <row r="254" spans="2:5" ht="18.75">
      <c r="B254" s="1" t="s">
        <v>152</v>
      </c>
      <c r="C254" s="2">
        <f>74427.05+123.63+212250+132.5</f>
        <v>286933.18</v>
      </c>
      <c r="D254" s="2"/>
      <c r="E254" s="2">
        <f>C254+E216</f>
        <v>2094099.2099999997</v>
      </c>
    </row>
    <row r="255" spans="2:5" ht="18.75">
      <c r="B255" s="1" t="s">
        <v>491</v>
      </c>
      <c r="C255" s="2">
        <f>148750+300242+61107+3055</f>
        <v>513154</v>
      </c>
      <c r="D255" s="2"/>
      <c r="E255" s="2">
        <f>C255+E217</f>
        <v>9218855</v>
      </c>
    </row>
    <row r="256" spans="2:5" ht="18.75">
      <c r="B256" s="1" t="s">
        <v>153</v>
      </c>
      <c r="C256" s="2">
        <v>0</v>
      </c>
      <c r="D256" s="2"/>
      <c r="E256" s="2">
        <f>C256+E218</f>
        <v>4150000</v>
      </c>
    </row>
    <row r="257" spans="2:5" ht="18.75">
      <c r="B257" s="1" t="s">
        <v>581</v>
      </c>
      <c r="C257" s="2">
        <v>5436000</v>
      </c>
      <c r="D257" s="2"/>
      <c r="E257" s="2">
        <f>+C257</f>
        <v>5436000</v>
      </c>
    </row>
    <row r="258" spans="2:5" ht="18.75">
      <c r="B258" s="1" t="s">
        <v>324</v>
      </c>
      <c r="C258" s="2">
        <v>0</v>
      </c>
      <c r="D258" s="2"/>
      <c r="E258" s="2">
        <f>C258+E219</f>
        <v>46.01</v>
      </c>
    </row>
    <row r="259" spans="2:5" ht="18.75">
      <c r="B259" s="1" t="s">
        <v>309</v>
      </c>
      <c r="C259" s="2">
        <v>0</v>
      </c>
      <c r="D259" s="2"/>
      <c r="E259" s="2">
        <f aca="true" t="shared" si="12" ref="E259:E265">C259+E220</f>
        <v>0</v>
      </c>
    </row>
    <row r="260" spans="2:5" ht="18.75">
      <c r="B260" s="1" t="s">
        <v>325</v>
      </c>
      <c r="C260" s="2">
        <v>0</v>
      </c>
      <c r="D260" s="2"/>
      <c r="E260" s="2">
        <f t="shared" si="12"/>
        <v>600</v>
      </c>
    </row>
    <row r="261" spans="2:5" ht="18.75">
      <c r="B261" s="1" t="s">
        <v>330</v>
      </c>
      <c r="C261" s="2">
        <v>0</v>
      </c>
      <c r="D261" s="2"/>
      <c r="E261" s="2">
        <f t="shared" si="12"/>
        <v>0</v>
      </c>
    </row>
    <row r="262" spans="2:5" ht="18.75">
      <c r="B262" s="1" t="s">
        <v>363</v>
      </c>
      <c r="C262" s="2">
        <v>0</v>
      </c>
      <c r="D262" s="2"/>
      <c r="E262" s="2">
        <f t="shared" si="12"/>
        <v>0</v>
      </c>
    </row>
    <row r="263" spans="2:5" ht="18.75">
      <c r="B263" s="1" t="s">
        <v>329</v>
      </c>
      <c r="C263" s="2">
        <v>3088</v>
      </c>
      <c r="D263" s="2"/>
      <c r="E263" s="2">
        <f t="shared" si="12"/>
        <v>3399.35</v>
      </c>
    </row>
    <row r="264" spans="2:5" ht="18.75">
      <c r="B264" s="1" t="s">
        <v>393</v>
      </c>
      <c r="C264" s="2">
        <v>800</v>
      </c>
      <c r="D264" s="2"/>
      <c r="E264" s="2">
        <f t="shared" si="12"/>
        <v>800</v>
      </c>
    </row>
    <row r="265" spans="2:5" ht="18.75">
      <c r="B265" s="1" t="s">
        <v>473</v>
      </c>
      <c r="C265" s="2">
        <v>0</v>
      </c>
      <c r="D265" s="2"/>
      <c r="E265" s="2">
        <f t="shared" si="12"/>
        <v>600</v>
      </c>
    </row>
    <row r="266" spans="2:5" ht="18.75">
      <c r="B266" s="1" t="s">
        <v>15</v>
      </c>
      <c r="C266" s="2">
        <v>1000</v>
      </c>
      <c r="D266" s="2"/>
      <c r="E266" s="2">
        <f>+C266</f>
        <v>1000</v>
      </c>
    </row>
    <row r="267" spans="2:5" ht="18.75">
      <c r="B267" s="1" t="s">
        <v>289</v>
      </c>
      <c r="C267" s="2">
        <v>0</v>
      </c>
      <c r="D267" s="2"/>
      <c r="E267" s="2">
        <f>C267+E227</f>
        <v>10.8</v>
      </c>
    </row>
    <row r="268" spans="2:5" ht="19.5" thickBot="1">
      <c r="B268" s="398" t="s">
        <v>17</v>
      </c>
      <c r="C268" s="4">
        <f>SUM(C253:C267)</f>
        <v>9568714.68</v>
      </c>
      <c r="D268" s="80"/>
      <c r="E268" s="4">
        <f>SUM(E253:E267)</f>
        <v>47336861.95</v>
      </c>
    </row>
    <row r="269" spans="3:5" ht="19.5" thickTop="1">
      <c r="C269" s="2"/>
      <c r="D269" s="2"/>
      <c r="E269" s="2"/>
    </row>
    <row r="270" spans="1:5" ht="18.75">
      <c r="A270" s="3" t="s">
        <v>30</v>
      </c>
      <c r="C270" s="2"/>
      <c r="D270" s="2"/>
      <c r="E270" s="2"/>
    </row>
    <row r="271" spans="2:5" ht="18.75">
      <c r="B271" s="1" t="s">
        <v>154</v>
      </c>
      <c r="C271" s="2">
        <f>106066+218720+362953+30960+244850+31500+261472+110369.22+5701+55667.7+98000</f>
        <v>1526258.92</v>
      </c>
      <c r="D271" s="2"/>
      <c r="E271" s="2">
        <f>C271+E231</f>
        <v>12475694.67</v>
      </c>
    </row>
    <row r="272" spans="2:5" ht="18.75">
      <c r="B272" s="1" t="s">
        <v>155</v>
      </c>
      <c r="C272" s="2">
        <v>59516.03</v>
      </c>
      <c r="D272" s="2"/>
      <c r="E272" s="2">
        <f aca="true" t="shared" si="13" ref="E272:E280">C272+E232</f>
        <v>1012671.18</v>
      </c>
    </row>
    <row r="273" spans="2:5" ht="18.75">
      <c r="B273" s="1" t="s">
        <v>28</v>
      </c>
      <c r="C273" s="2">
        <v>0</v>
      </c>
      <c r="D273" s="2"/>
      <c r="E273" s="2">
        <f t="shared" si="13"/>
        <v>521347.83</v>
      </c>
    </row>
    <row r="274" spans="2:5" ht="18.75">
      <c r="B274" s="1" t="s">
        <v>490</v>
      </c>
      <c r="C274" s="2">
        <f>43200+126100+1540+130322+30800</f>
        <v>331962</v>
      </c>
      <c r="D274" s="2"/>
      <c r="E274" s="2">
        <f t="shared" si="13"/>
        <v>2370952</v>
      </c>
    </row>
    <row r="275" spans="2:5" ht="18.75">
      <c r="B275" s="1" t="s">
        <v>157</v>
      </c>
      <c r="C275" s="2">
        <v>0</v>
      </c>
      <c r="D275" s="2"/>
      <c r="E275" s="2">
        <f t="shared" si="13"/>
        <v>4110000</v>
      </c>
    </row>
    <row r="276" spans="2:5" ht="18.75">
      <c r="B276" s="1" t="s">
        <v>158</v>
      </c>
      <c r="C276" s="2">
        <v>30000</v>
      </c>
      <c r="D276" s="2"/>
      <c r="E276" s="2">
        <f t="shared" si="13"/>
        <v>148388</v>
      </c>
    </row>
    <row r="277" spans="2:5" ht="18.75">
      <c r="B277" s="1" t="s">
        <v>159</v>
      </c>
      <c r="C277" s="2">
        <v>0</v>
      </c>
      <c r="D277" s="2"/>
      <c r="E277" s="2">
        <f t="shared" si="13"/>
        <v>3125461</v>
      </c>
    </row>
    <row r="278" spans="2:5" ht="18.75">
      <c r="B278" s="1" t="s">
        <v>336</v>
      </c>
      <c r="C278" s="2">
        <v>758200</v>
      </c>
      <c r="D278" s="2"/>
      <c r="E278" s="2">
        <f t="shared" si="13"/>
        <v>3039600</v>
      </c>
    </row>
    <row r="279" spans="2:5" ht="18.75">
      <c r="B279" s="1" t="s">
        <v>58</v>
      </c>
      <c r="C279" s="2">
        <v>0</v>
      </c>
      <c r="D279" s="2"/>
      <c r="E279" s="2">
        <f t="shared" si="13"/>
        <v>0</v>
      </c>
    </row>
    <row r="280" spans="2:5" ht="18.75">
      <c r="B280" s="1" t="s">
        <v>14</v>
      </c>
      <c r="C280" s="2">
        <v>2180500</v>
      </c>
      <c r="D280" s="2"/>
      <c r="E280" s="2">
        <f t="shared" si="13"/>
        <v>3719044</v>
      </c>
    </row>
    <row r="281" spans="2:5" ht="18.75">
      <c r="B281" s="1" t="s">
        <v>580</v>
      </c>
      <c r="C281" s="2">
        <v>5436000</v>
      </c>
      <c r="D281" s="2"/>
      <c r="E281" s="2">
        <f>+C281</f>
        <v>5436000</v>
      </c>
    </row>
    <row r="282" spans="2:5" ht="18.75">
      <c r="B282" s="1" t="s">
        <v>388</v>
      </c>
      <c r="C282" s="2">
        <v>0</v>
      </c>
      <c r="D282" s="2"/>
      <c r="E282" s="2">
        <f>C282+E241</f>
        <v>0</v>
      </c>
    </row>
    <row r="283" spans="2:5" ht="18.75">
      <c r="B283" s="1" t="s">
        <v>389</v>
      </c>
      <c r="C283" s="2">
        <v>0</v>
      </c>
      <c r="D283" s="2"/>
      <c r="E283" s="2">
        <f>C283+E242</f>
        <v>0</v>
      </c>
    </row>
    <row r="284" spans="2:5" ht="18.75">
      <c r="B284" s="1" t="s">
        <v>349</v>
      </c>
      <c r="C284" s="2">
        <v>0</v>
      </c>
      <c r="D284" s="2"/>
      <c r="E284" s="2">
        <f>C284+E243</f>
        <v>0</v>
      </c>
    </row>
    <row r="285" spans="2:5" ht="18.75">
      <c r="B285" s="1" t="s">
        <v>365</v>
      </c>
      <c r="C285" s="2">
        <v>0</v>
      </c>
      <c r="D285" s="2"/>
      <c r="E285" s="2">
        <f>C285+E244</f>
        <v>0</v>
      </c>
    </row>
    <row r="286" spans="2:5" ht="19.5" thickBot="1">
      <c r="B286" s="398" t="s">
        <v>17</v>
      </c>
      <c r="C286" s="4">
        <f>SUM(C271:C285)</f>
        <v>10322436.95</v>
      </c>
      <c r="D286" s="81"/>
      <c r="E286" s="4">
        <f>SUM(E271:E285)</f>
        <v>35959158.68</v>
      </c>
    </row>
    <row r="287" spans="2:5" ht="20.25" thickBot="1" thickTop="1">
      <c r="B287" s="398" t="s">
        <v>163</v>
      </c>
      <c r="C287" s="82">
        <f>SUM(C268-C286)</f>
        <v>-753722.2699999996</v>
      </c>
      <c r="D287" s="83"/>
      <c r="E287" s="82">
        <f>SUM(E268-E286)</f>
        <v>11377703.270000003</v>
      </c>
    </row>
    <row r="288" spans="1:5" ht="19.5" thickTop="1">
      <c r="A288" s="482" t="s">
        <v>29</v>
      </c>
      <c r="B288" s="482"/>
      <c r="C288" s="482"/>
      <c r="D288" s="482"/>
      <c r="E288" s="482"/>
    </row>
    <row r="289" spans="1:5" ht="18.75">
      <c r="A289" s="482" t="s">
        <v>150</v>
      </c>
      <c r="B289" s="482"/>
      <c r="C289" s="482"/>
      <c r="D289" s="482"/>
      <c r="E289" s="482"/>
    </row>
    <row r="290" spans="1:5" ht="18.75">
      <c r="A290" s="482" t="s">
        <v>612</v>
      </c>
      <c r="B290" s="482"/>
      <c r="C290" s="482"/>
      <c r="D290" s="482"/>
      <c r="E290" s="482"/>
    </row>
    <row r="292" spans="3:5" ht="18.75">
      <c r="C292" s="415" t="s">
        <v>139</v>
      </c>
      <c r="D292" s="415"/>
      <c r="E292" s="415" t="s">
        <v>160</v>
      </c>
    </row>
    <row r="293" ht="18.75">
      <c r="A293" s="3" t="s">
        <v>18</v>
      </c>
    </row>
    <row r="294" spans="2:5" ht="18.75">
      <c r="B294" s="1" t="s">
        <v>151</v>
      </c>
      <c r="C294" s="2">
        <f>869.38+14500+460+3200+25605+1348012.03+292446.6+138146.51+289940.48+27267.61+17563</f>
        <v>2158010.61</v>
      </c>
      <c r="D294" s="2"/>
      <c r="E294" s="2">
        <f>C294+E253</f>
        <v>28589462.19</v>
      </c>
    </row>
    <row r="295" spans="2:5" ht="18.75">
      <c r="B295" s="1" t="s">
        <v>152</v>
      </c>
      <c r="C295" s="2">
        <v>99465.5</v>
      </c>
      <c r="D295" s="2"/>
      <c r="E295" s="2">
        <f>C295+E254</f>
        <v>2193564.71</v>
      </c>
    </row>
    <row r="296" spans="2:5" ht="18.75">
      <c r="B296" s="1" t="s">
        <v>491</v>
      </c>
      <c r="C296" s="2">
        <f>807200+139200</f>
        <v>946400</v>
      </c>
      <c r="D296" s="2"/>
      <c r="E296" s="2">
        <f>C296+E255</f>
        <v>10165255</v>
      </c>
    </row>
    <row r="297" spans="2:5" ht="18.75">
      <c r="B297" s="1" t="s">
        <v>153</v>
      </c>
      <c r="C297" s="2">
        <v>0</v>
      </c>
      <c r="D297" s="2"/>
      <c r="E297" s="2">
        <f>C297+E256</f>
        <v>4150000</v>
      </c>
    </row>
    <row r="298" spans="2:5" ht="18.75">
      <c r="B298" s="1" t="s">
        <v>581</v>
      </c>
      <c r="C298" s="2">
        <v>6192300</v>
      </c>
      <c r="D298" s="2"/>
      <c r="E298" s="2">
        <f>C298+E257</f>
        <v>11628300</v>
      </c>
    </row>
    <row r="299" spans="2:5" ht="18.75">
      <c r="B299" s="1" t="s">
        <v>324</v>
      </c>
      <c r="C299" s="2">
        <v>0</v>
      </c>
      <c r="D299" s="2"/>
      <c r="E299" s="2">
        <f aca="true" t="shared" si="14" ref="E299:E306">C299+E258</f>
        <v>46.01</v>
      </c>
    </row>
    <row r="300" spans="2:5" ht="18.75">
      <c r="B300" s="1" t="s">
        <v>309</v>
      </c>
      <c r="C300" s="2">
        <v>0</v>
      </c>
      <c r="D300" s="2"/>
      <c r="E300" s="2">
        <f t="shared" si="14"/>
        <v>0</v>
      </c>
    </row>
    <row r="301" spans="2:5" ht="18.75">
      <c r="B301" s="1" t="s">
        <v>325</v>
      </c>
      <c r="C301" s="2">
        <v>0</v>
      </c>
      <c r="D301" s="2"/>
      <c r="E301" s="2">
        <f t="shared" si="14"/>
        <v>600</v>
      </c>
    </row>
    <row r="302" spans="2:5" ht="18.75">
      <c r="B302" s="1" t="s">
        <v>330</v>
      </c>
      <c r="C302" s="2">
        <v>0</v>
      </c>
      <c r="D302" s="2"/>
      <c r="E302" s="2">
        <f t="shared" si="14"/>
        <v>0</v>
      </c>
    </row>
    <row r="303" spans="2:5" ht="18.75">
      <c r="B303" s="1" t="s">
        <v>363</v>
      </c>
      <c r="C303" s="2">
        <v>0</v>
      </c>
      <c r="D303" s="2"/>
      <c r="E303" s="2">
        <f t="shared" si="14"/>
        <v>0</v>
      </c>
    </row>
    <row r="304" spans="2:5" ht="18.75">
      <c r="B304" s="1" t="s">
        <v>329</v>
      </c>
      <c r="C304" s="2">
        <v>0</v>
      </c>
      <c r="D304" s="2"/>
      <c r="E304" s="2">
        <f t="shared" si="14"/>
        <v>3399.35</v>
      </c>
    </row>
    <row r="305" spans="2:5" ht="18.75">
      <c r="B305" s="1" t="s">
        <v>393</v>
      </c>
      <c r="C305" s="2">
        <v>0</v>
      </c>
      <c r="D305" s="2"/>
      <c r="E305" s="2">
        <f t="shared" si="14"/>
        <v>800</v>
      </c>
    </row>
    <row r="306" spans="2:5" ht="18.75">
      <c r="B306" s="1" t="s">
        <v>473</v>
      </c>
      <c r="C306" s="2">
        <v>800</v>
      </c>
      <c r="D306" s="2"/>
      <c r="E306" s="2">
        <f t="shared" si="14"/>
        <v>1400</v>
      </c>
    </row>
    <row r="307" spans="2:5" ht="18.75">
      <c r="B307" s="1" t="s">
        <v>333</v>
      </c>
      <c r="C307" s="2">
        <v>105</v>
      </c>
      <c r="D307" s="2"/>
      <c r="E307" s="2">
        <f>C307</f>
        <v>105</v>
      </c>
    </row>
    <row r="308" spans="2:5" ht="18.75">
      <c r="B308" s="1" t="s">
        <v>15</v>
      </c>
      <c r="C308" s="2">
        <v>0</v>
      </c>
      <c r="D308" s="2"/>
      <c r="E308" s="2">
        <f>C308+E266</f>
        <v>1000</v>
      </c>
    </row>
    <row r="309" spans="2:5" ht="18.75">
      <c r="B309" s="1" t="s">
        <v>289</v>
      </c>
      <c r="C309" s="2">
        <v>0</v>
      </c>
      <c r="D309" s="2"/>
      <c r="E309" s="2">
        <f>C309+E267</f>
        <v>10.8</v>
      </c>
    </row>
    <row r="310" spans="2:5" ht="19.5" thickBot="1">
      <c r="B310" s="415" t="s">
        <v>17</v>
      </c>
      <c r="C310" s="4">
        <f>SUM(C294:C309)</f>
        <v>9397081.11</v>
      </c>
      <c r="D310" s="80"/>
      <c r="E310" s="4">
        <f>SUM(E294:E309)</f>
        <v>56733943.06</v>
      </c>
    </row>
    <row r="311" spans="3:5" ht="19.5" thickTop="1">
      <c r="C311" s="2"/>
      <c r="D311" s="2"/>
      <c r="E311" s="2"/>
    </row>
    <row r="312" spans="1:5" ht="18.75">
      <c r="A312" s="3" t="s">
        <v>30</v>
      </c>
      <c r="C312" s="2"/>
      <c r="D312" s="2"/>
      <c r="E312" s="2"/>
    </row>
    <row r="313" spans="2:5" ht="18.75">
      <c r="B313" s="1" t="s">
        <v>154</v>
      </c>
      <c r="C313" s="2">
        <f>496869.5+218720+398250+32100+246750+33630+209439.7+44292+87338.91+74594+15740+944000</f>
        <v>2801724.11</v>
      </c>
      <c r="D313" s="2"/>
      <c r="E313" s="2">
        <f>C313+E271</f>
        <v>15277418.78</v>
      </c>
    </row>
    <row r="314" spans="2:5" ht="18.75">
      <c r="B314" s="1" t="s">
        <v>155</v>
      </c>
      <c r="C314" s="2">
        <v>260993.55</v>
      </c>
      <c r="D314" s="2"/>
      <c r="E314" s="2">
        <f aca="true" t="shared" si="15" ref="E314:E327">C314+E272</f>
        <v>1273664.73</v>
      </c>
    </row>
    <row r="315" spans="2:5" ht="18.75">
      <c r="B315" s="1" t="s">
        <v>28</v>
      </c>
      <c r="C315" s="2">
        <v>0</v>
      </c>
      <c r="D315" s="2"/>
      <c r="E315" s="2">
        <f t="shared" si="15"/>
        <v>521347.83</v>
      </c>
    </row>
    <row r="316" spans="2:5" ht="18.75">
      <c r="B316" s="1" t="s">
        <v>490</v>
      </c>
      <c r="C316" s="2">
        <f>1540+84960+30800+297500</f>
        <v>414800</v>
      </c>
      <c r="D316" s="2"/>
      <c r="E316" s="2">
        <f t="shared" si="15"/>
        <v>2785752</v>
      </c>
    </row>
    <row r="317" spans="2:5" ht="18.75">
      <c r="B317" s="1" t="s">
        <v>157</v>
      </c>
      <c r="C317" s="2">
        <v>0</v>
      </c>
      <c r="D317" s="2"/>
      <c r="E317" s="2">
        <f t="shared" si="15"/>
        <v>4110000</v>
      </c>
    </row>
    <row r="318" spans="2:5" ht="18.75">
      <c r="B318" s="1" t="s">
        <v>158</v>
      </c>
      <c r="C318" s="2">
        <v>0</v>
      </c>
      <c r="D318" s="2"/>
      <c r="E318" s="2">
        <f t="shared" si="15"/>
        <v>148388</v>
      </c>
    </row>
    <row r="319" spans="2:5" ht="18.75">
      <c r="B319" s="1" t="s">
        <v>159</v>
      </c>
      <c r="C319" s="2">
        <v>933100</v>
      </c>
      <c r="D319" s="2"/>
      <c r="E319" s="2">
        <f t="shared" si="15"/>
        <v>4058561</v>
      </c>
    </row>
    <row r="320" spans="2:5" ht="18.75">
      <c r="B320" s="1" t="s">
        <v>336</v>
      </c>
      <c r="C320" s="2">
        <v>70000</v>
      </c>
      <c r="D320" s="2"/>
      <c r="E320" s="2">
        <f t="shared" si="15"/>
        <v>3109600</v>
      </c>
    </row>
    <row r="321" spans="2:5" ht="18.75">
      <c r="B321" s="1" t="s">
        <v>58</v>
      </c>
      <c r="C321" s="2">
        <v>0</v>
      </c>
      <c r="D321" s="2"/>
      <c r="E321" s="2">
        <f t="shared" si="15"/>
        <v>0</v>
      </c>
    </row>
    <row r="322" spans="2:5" ht="18.75">
      <c r="B322" s="1" t="s">
        <v>14</v>
      </c>
      <c r="C322" s="2">
        <v>0</v>
      </c>
      <c r="D322" s="2"/>
      <c r="E322" s="2">
        <f t="shared" si="15"/>
        <v>3719044</v>
      </c>
    </row>
    <row r="323" spans="2:5" ht="18.75">
      <c r="B323" s="1" t="s">
        <v>580</v>
      </c>
      <c r="C323" s="2">
        <f>1187000+5005300</f>
        <v>6192300</v>
      </c>
      <c r="D323" s="2"/>
      <c r="E323" s="2">
        <f>C323+E281</f>
        <v>11628300</v>
      </c>
    </row>
    <row r="324" spans="2:5" ht="18.75">
      <c r="B324" s="1" t="s">
        <v>388</v>
      </c>
      <c r="C324" s="2">
        <v>0</v>
      </c>
      <c r="D324" s="2"/>
      <c r="E324" s="2">
        <f t="shared" si="15"/>
        <v>0</v>
      </c>
    </row>
    <row r="325" spans="2:5" ht="18.75">
      <c r="B325" s="1" t="s">
        <v>389</v>
      </c>
      <c r="C325" s="2">
        <v>0</v>
      </c>
      <c r="D325" s="2"/>
      <c r="E325" s="2">
        <f t="shared" si="15"/>
        <v>0</v>
      </c>
    </row>
    <row r="326" spans="2:5" ht="18.75">
      <c r="B326" s="1" t="s">
        <v>349</v>
      </c>
      <c r="C326" s="2">
        <v>0</v>
      </c>
      <c r="D326" s="2"/>
      <c r="E326" s="2">
        <f t="shared" si="15"/>
        <v>0</v>
      </c>
    </row>
    <row r="327" spans="2:5" ht="18.75">
      <c r="B327" s="1" t="s">
        <v>365</v>
      </c>
      <c r="C327" s="2">
        <v>0</v>
      </c>
      <c r="D327" s="2"/>
      <c r="E327" s="2">
        <f t="shared" si="15"/>
        <v>0</v>
      </c>
    </row>
    <row r="328" spans="2:5" ht="19.5" thickBot="1">
      <c r="B328" s="415" t="s">
        <v>17</v>
      </c>
      <c r="C328" s="4">
        <f>SUM(C313:C327)</f>
        <v>10672917.66</v>
      </c>
      <c r="D328" s="81"/>
      <c r="E328" s="4">
        <f>SUM(E313:E327)</f>
        <v>46632076.34</v>
      </c>
    </row>
    <row r="329" spans="2:5" ht="20.25" thickBot="1" thickTop="1">
      <c r="B329" s="415" t="s">
        <v>163</v>
      </c>
      <c r="C329" s="82">
        <f>SUM(C310-C328)</f>
        <v>-1275836.5500000007</v>
      </c>
      <c r="D329" s="83"/>
      <c r="E329" s="82">
        <f>SUM(E310-E328)</f>
        <v>10101866.719999999</v>
      </c>
    </row>
    <row r="330" ht="19.5" thickTop="1"/>
  </sheetData>
  <sheetProtection/>
  <mergeCells count="24">
    <mergeCell ref="A288:E288"/>
    <mergeCell ref="A289:E289"/>
    <mergeCell ref="A290:E290"/>
    <mergeCell ref="A247:E247"/>
    <mergeCell ref="A248:E248"/>
    <mergeCell ref="A249:E249"/>
    <mergeCell ref="A47:E47"/>
    <mergeCell ref="A1:E1"/>
    <mergeCell ref="A2:E2"/>
    <mergeCell ref="A3:E3"/>
    <mergeCell ref="A45:E45"/>
    <mergeCell ref="A46:E46"/>
    <mergeCell ref="A209:E209"/>
    <mergeCell ref="A210:E210"/>
    <mergeCell ref="A211:E211"/>
    <mergeCell ref="A89:E89"/>
    <mergeCell ref="A90:E90"/>
    <mergeCell ref="A91:E91"/>
    <mergeCell ref="A171:E171"/>
    <mergeCell ref="A172:E172"/>
    <mergeCell ref="A173:E173"/>
    <mergeCell ref="A133:E133"/>
    <mergeCell ref="A134:E134"/>
    <mergeCell ref="A135:E135"/>
  </mergeCells>
  <printOptions/>
  <pageMargins left="0.748031496" right="0.498031496" top="0.498031496" bottom="0.261811024" header="0.511811023622047" footer="0.511811023622047"/>
  <pageSetup horizontalDpi="600" verticalDpi="600" orientation="portrait" paperSize="9" scale="88" r:id="rId1"/>
  <rowBreaks count="7" manualBreakCount="7">
    <brk id="44" max="4" man="1"/>
    <brk id="88" max="4" man="1"/>
    <brk id="132" max="4" man="1"/>
    <brk id="170" max="4" man="1"/>
    <brk id="208" max="4" man="1"/>
    <brk id="246" max="4" man="1"/>
    <brk id="287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G784"/>
  <sheetViews>
    <sheetView view="pageBreakPreview" zoomScale="110" zoomScaleSheetLayoutView="110" zoomScalePageLayoutView="0" workbookViewId="0" topLeftCell="A729">
      <selection activeCell="C785" sqref="C785"/>
    </sheetView>
  </sheetViews>
  <sheetFormatPr defaultColWidth="9.140625" defaultRowHeight="12.75"/>
  <cols>
    <col min="1" max="1" width="16.8515625" style="225" customWidth="1"/>
    <col min="2" max="2" width="16.28125" style="225" customWidth="1"/>
    <col min="3" max="3" width="45.28125" style="225" customWidth="1"/>
    <col min="4" max="4" width="13.57421875" style="225" customWidth="1"/>
    <col min="5" max="5" width="15.421875" style="225" customWidth="1"/>
    <col min="6" max="6" width="12.28125" style="5" bestFit="1" customWidth="1"/>
    <col min="7" max="7" width="9.57421875" style="5" bestFit="1" customWidth="1"/>
    <col min="8" max="16384" width="9.140625" style="5" customWidth="1"/>
  </cols>
  <sheetData>
    <row r="1" spans="1:5" ht="15.75">
      <c r="A1" s="234" t="s">
        <v>29</v>
      </c>
      <c r="D1" s="251" t="s">
        <v>140</v>
      </c>
      <c r="E1" s="241" t="s">
        <v>470</v>
      </c>
    </row>
    <row r="2" spans="1:5" ht="15.75">
      <c r="A2" s="485" t="s">
        <v>136</v>
      </c>
      <c r="B2" s="485"/>
      <c r="C2" s="485"/>
      <c r="D2" s="485"/>
      <c r="E2" s="485"/>
    </row>
    <row r="3" ht="15.75">
      <c r="E3" s="295" t="s">
        <v>362</v>
      </c>
    </row>
    <row r="4" spans="1:5" ht="15.75">
      <c r="A4" s="486" t="s">
        <v>137</v>
      </c>
      <c r="B4" s="486"/>
      <c r="C4" s="226"/>
      <c r="D4" s="226"/>
      <c r="E4" s="296" t="s">
        <v>139</v>
      </c>
    </row>
    <row r="5" spans="1:5" ht="15.75">
      <c r="A5" s="227" t="s">
        <v>16</v>
      </c>
      <c r="B5" s="227" t="s">
        <v>138</v>
      </c>
      <c r="C5" s="227" t="s">
        <v>0</v>
      </c>
      <c r="D5" s="227" t="s">
        <v>133</v>
      </c>
      <c r="E5" s="227" t="s">
        <v>138</v>
      </c>
    </row>
    <row r="6" spans="1:5" ht="15.75">
      <c r="A6" s="235" t="s">
        <v>49</v>
      </c>
      <c r="B6" s="235" t="s">
        <v>49</v>
      </c>
      <c r="C6" s="222"/>
      <c r="D6" s="222"/>
      <c r="E6" s="235" t="s">
        <v>49</v>
      </c>
    </row>
    <row r="7" spans="1:6" ht="15.75">
      <c r="A7" s="233"/>
      <c r="B7" s="242">
        <v>23064949.07</v>
      </c>
      <c r="C7" s="218" t="s">
        <v>141</v>
      </c>
      <c r="D7" s="219"/>
      <c r="E7" s="242">
        <v>23064949.07</v>
      </c>
      <c r="F7" s="6">
        <v>23064949.209999982</v>
      </c>
    </row>
    <row r="8" spans="1:5" ht="15.75">
      <c r="A8" s="233"/>
      <c r="B8" s="233"/>
      <c r="C8" s="218" t="s">
        <v>142</v>
      </c>
      <c r="D8" s="219"/>
      <c r="E8" s="233"/>
    </row>
    <row r="9" spans="1:5" ht="15.75">
      <c r="A9" s="236">
        <v>198000</v>
      </c>
      <c r="B9" s="236">
        <f>+E9</f>
        <v>0</v>
      </c>
      <c r="C9" s="219" t="s">
        <v>19</v>
      </c>
      <c r="D9" s="220">
        <v>411000</v>
      </c>
      <c r="E9" s="233">
        <v>0</v>
      </c>
    </row>
    <row r="10" spans="1:5" ht="15.75">
      <c r="A10" s="236">
        <v>260200</v>
      </c>
      <c r="B10" s="236">
        <f aca="true" t="shared" si="0" ref="B10:B16">+E10</f>
        <v>19980</v>
      </c>
      <c r="C10" s="219" t="s">
        <v>319</v>
      </c>
      <c r="D10" s="220">
        <v>412000</v>
      </c>
      <c r="E10" s="233">
        <v>19980</v>
      </c>
    </row>
    <row r="11" spans="1:5" ht="15.75">
      <c r="A11" s="236">
        <v>300500</v>
      </c>
      <c r="B11" s="236">
        <f t="shared" si="0"/>
        <v>0</v>
      </c>
      <c r="C11" s="219" t="s">
        <v>21</v>
      </c>
      <c r="D11" s="220">
        <v>413000</v>
      </c>
      <c r="E11" s="233">
        <v>0</v>
      </c>
    </row>
    <row r="12" spans="1:5" ht="15.75">
      <c r="A12" s="236">
        <v>200000</v>
      </c>
      <c r="B12" s="236">
        <f t="shared" si="0"/>
        <v>11280</v>
      </c>
      <c r="C12" s="219" t="s">
        <v>23</v>
      </c>
      <c r="D12" s="220">
        <v>414000</v>
      </c>
      <c r="E12" s="233">
        <v>11280</v>
      </c>
    </row>
    <row r="13" spans="1:5" ht="15.75">
      <c r="A13" s="236">
        <v>60000</v>
      </c>
      <c r="B13" s="236">
        <f t="shared" si="0"/>
        <v>151530</v>
      </c>
      <c r="C13" s="219" t="s">
        <v>20</v>
      </c>
      <c r="D13" s="220">
        <v>415000</v>
      </c>
      <c r="E13" s="233">
        <v>151530</v>
      </c>
    </row>
    <row r="14" spans="1:5" ht="15.75">
      <c r="A14" s="236">
        <v>500</v>
      </c>
      <c r="B14" s="236">
        <f t="shared" si="0"/>
        <v>0</v>
      </c>
      <c r="C14" s="219" t="s">
        <v>121</v>
      </c>
      <c r="D14" s="220">
        <v>416000</v>
      </c>
      <c r="E14" s="233">
        <v>0</v>
      </c>
    </row>
    <row r="15" spans="1:5" ht="15.75">
      <c r="A15" s="236">
        <v>14141000</v>
      </c>
      <c r="B15" s="236">
        <f t="shared" si="0"/>
        <v>1469142.43</v>
      </c>
      <c r="C15" s="219" t="s">
        <v>50</v>
      </c>
      <c r="D15" s="220">
        <v>421000</v>
      </c>
      <c r="E15" s="233">
        <v>1469142.43</v>
      </c>
    </row>
    <row r="16" spans="1:5" ht="15.75">
      <c r="A16" s="236">
        <v>17860000</v>
      </c>
      <c r="B16" s="236">
        <f t="shared" si="0"/>
        <v>0</v>
      </c>
      <c r="C16" s="219" t="s">
        <v>22</v>
      </c>
      <c r="D16" s="220">
        <v>431002</v>
      </c>
      <c r="E16" s="233">
        <v>0</v>
      </c>
    </row>
    <row r="17" spans="1:5" ht="16.5" thickBot="1">
      <c r="A17" s="237">
        <f>SUM(A9:A16)</f>
        <v>33020200</v>
      </c>
      <c r="B17" s="237">
        <f>SUM(B9:B16)</f>
        <v>1651932.43</v>
      </c>
      <c r="C17" s="219"/>
      <c r="D17" s="220"/>
      <c r="E17" s="237">
        <f>SUM(E9:E16)</f>
        <v>1651932.43</v>
      </c>
    </row>
    <row r="18" spans="1:5" ht="16.5" thickTop="1">
      <c r="A18" s="238"/>
      <c r="B18" s="236">
        <f>+E18</f>
        <v>0</v>
      </c>
      <c r="C18" s="219" t="s">
        <v>69</v>
      </c>
      <c r="D18" s="220">
        <v>441000</v>
      </c>
      <c r="E18" s="233">
        <v>0</v>
      </c>
    </row>
    <row r="19" spans="1:5" ht="15.75">
      <c r="A19" s="239"/>
      <c r="B19" s="236">
        <f aca="true" t="shared" si="1" ref="B19:B39">+E19</f>
        <v>0</v>
      </c>
      <c r="C19" s="219" t="s">
        <v>120</v>
      </c>
      <c r="D19" s="220">
        <v>441000</v>
      </c>
      <c r="E19" s="233">
        <v>0</v>
      </c>
    </row>
    <row r="20" spans="1:5" ht="15.75">
      <c r="A20" s="239"/>
      <c r="B20" s="236">
        <f t="shared" si="1"/>
        <v>2997.3</v>
      </c>
      <c r="C20" s="219" t="s">
        <v>26</v>
      </c>
      <c r="D20" s="220">
        <v>230102</v>
      </c>
      <c r="E20" s="233">
        <v>2997.3</v>
      </c>
    </row>
    <row r="21" spans="1:5" ht="15.75">
      <c r="A21" s="223"/>
      <c r="B21" s="236">
        <f t="shared" si="1"/>
        <v>0</v>
      </c>
      <c r="C21" s="219" t="s">
        <v>143</v>
      </c>
      <c r="D21" s="220">
        <v>230105</v>
      </c>
      <c r="E21" s="233">
        <v>0</v>
      </c>
    </row>
    <row r="22" spans="1:5" ht="15.75">
      <c r="A22" s="230"/>
      <c r="B22" s="236">
        <f t="shared" si="1"/>
        <v>554840</v>
      </c>
      <c r="C22" s="219" t="s">
        <v>27</v>
      </c>
      <c r="D22" s="220">
        <v>230108</v>
      </c>
      <c r="E22" s="233">
        <v>554840</v>
      </c>
    </row>
    <row r="23" spans="1:5" ht="15.75">
      <c r="A23" s="230"/>
      <c r="B23" s="236">
        <f t="shared" si="1"/>
        <v>0</v>
      </c>
      <c r="C23" s="219" t="s">
        <v>316</v>
      </c>
      <c r="D23" s="220">
        <v>230109</v>
      </c>
      <c r="E23" s="233">
        <v>0</v>
      </c>
    </row>
    <row r="24" spans="1:5" ht="15.75">
      <c r="A24" s="230"/>
      <c r="B24" s="236">
        <f t="shared" si="1"/>
        <v>0</v>
      </c>
      <c r="C24" s="221" t="s">
        <v>86</v>
      </c>
      <c r="D24" s="220">
        <v>230110</v>
      </c>
      <c r="E24" s="233">
        <v>0</v>
      </c>
    </row>
    <row r="25" spans="1:5" ht="15.75">
      <c r="A25" s="230"/>
      <c r="B25" s="236">
        <f t="shared" si="1"/>
        <v>0</v>
      </c>
      <c r="C25" s="221" t="s">
        <v>346</v>
      </c>
      <c r="D25" s="220">
        <v>230111</v>
      </c>
      <c r="E25" s="233">
        <v>0</v>
      </c>
    </row>
    <row r="26" spans="1:5" ht="15.75">
      <c r="A26" s="230"/>
      <c r="B26" s="236">
        <f t="shared" si="1"/>
        <v>0</v>
      </c>
      <c r="C26" s="221" t="s">
        <v>373</v>
      </c>
      <c r="D26" s="220">
        <v>230112</v>
      </c>
      <c r="E26" s="233">
        <v>0</v>
      </c>
    </row>
    <row r="27" spans="1:5" ht="15.75">
      <c r="A27" s="230"/>
      <c r="B27" s="236">
        <f t="shared" si="1"/>
        <v>1050</v>
      </c>
      <c r="C27" s="221" t="s">
        <v>461</v>
      </c>
      <c r="D27" s="220">
        <v>230113</v>
      </c>
      <c r="E27" s="233">
        <v>1050</v>
      </c>
    </row>
    <row r="28" spans="1:5" ht="15.75">
      <c r="A28" s="230"/>
      <c r="B28" s="236">
        <f t="shared" si="1"/>
        <v>0</v>
      </c>
      <c r="C28" s="221" t="s">
        <v>25</v>
      </c>
      <c r="D28" s="220">
        <v>230114</v>
      </c>
      <c r="E28" s="233">
        <v>0</v>
      </c>
    </row>
    <row r="29" spans="1:5" ht="15.75">
      <c r="A29" s="230"/>
      <c r="B29" s="236">
        <f t="shared" si="1"/>
        <v>2100</v>
      </c>
      <c r="C29" s="221" t="s">
        <v>318</v>
      </c>
      <c r="D29" s="220">
        <v>230115</v>
      </c>
      <c r="E29" s="233">
        <v>2100</v>
      </c>
    </row>
    <row r="30" spans="1:5" ht="15.75">
      <c r="A30" s="230"/>
      <c r="B30" s="236">
        <f t="shared" si="1"/>
        <v>1500</v>
      </c>
      <c r="C30" s="221" t="s">
        <v>124</v>
      </c>
      <c r="D30" s="220">
        <v>230116</v>
      </c>
      <c r="E30" s="233">
        <v>1500</v>
      </c>
    </row>
    <row r="31" spans="1:5" ht="15.75">
      <c r="A31" s="230"/>
      <c r="B31" s="236">
        <f t="shared" si="1"/>
        <v>0</v>
      </c>
      <c r="C31" s="219" t="s">
        <v>56</v>
      </c>
      <c r="D31" s="220">
        <v>110602</v>
      </c>
      <c r="E31" s="233">
        <v>0</v>
      </c>
    </row>
    <row r="32" spans="2:5" ht="15.75">
      <c r="B32" s="236">
        <f t="shared" si="1"/>
        <v>0</v>
      </c>
      <c r="C32" s="219" t="s">
        <v>59</v>
      </c>
      <c r="D32" s="220">
        <v>110604</v>
      </c>
      <c r="E32" s="233">
        <v>0</v>
      </c>
    </row>
    <row r="33" spans="2:5" ht="15.75">
      <c r="B33" s="236">
        <f t="shared" si="1"/>
        <v>0</v>
      </c>
      <c r="C33" s="219" t="s">
        <v>126</v>
      </c>
      <c r="D33" s="220">
        <v>110605</v>
      </c>
      <c r="E33" s="233">
        <v>0</v>
      </c>
    </row>
    <row r="34" spans="2:5" ht="15.75">
      <c r="B34" s="236">
        <f t="shared" si="1"/>
        <v>0</v>
      </c>
      <c r="C34" s="219" t="s">
        <v>135</v>
      </c>
      <c r="D34" s="220">
        <v>110606</v>
      </c>
      <c r="E34" s="233">
        <v>0</v>
      </c>
    </row>
    <row r="35" spans="2:5" ht="15.75">
      <c r="B35" s="236">
        <f t="shared" si="1"/>
        <v>0</v>
      </c>
      <c r="C35" s="221" t="s">
        <v>343</v>
      </c>
      <c r="D35" s="220">
        <v>110605</v>
      </c>
      <c r="E35" s="233">
        <v>0</v>
      </c>
    </row>
    <row r="36" spans="2:5" ht="15.75">
      <c r="B36" s="236">
        <f t="shared" si="1"/>
        <v>600</v>
      </c>
      <c r="C36" s="221" t="s">
        <v>474</v>
      </c>
      <c r="D36" s="220">
        <v>110606</v>
      </c>
      <c r="E36" s="233">
        <v>600</v>
      </c>
    </row>
    <row r="37" spans="2:5" ht="15.75">
      <c r="B37" s="236">
        <f t="shared" si="1"/>
        <v>0</v>
      </c>
      <c r="C37" s="221" t="s">
        <v>392</v>
      </c>
      <c r="D37" s="220">
        <v>110609</v>
      </c>
      <c r="E37" s="233">
        <v>0</v>
      </c>
    </row>
    <row r="38" spans="2:5" ht="15.75">
      <c r="B38" s="236">
        <f t="shared" si="1"/>
        <v>0</v>
      </c>
      <c r="C38" s="221" t="s">
        <v>372</v>
      </c>
      <c r="D38" s="220">
        <v>522000</v>
      </c>
      <c r="E38" s="233">
        <v>0</v>
      </c>
    </row>
    <row r="39" spans="2:5" ht="15.75">
      <c r="B39" s="236">
        <f t="shared" si="1"/>
        <v>0</v>
      </c>
      <c r="C39" s="221" t="s">
        <v>289</v>
      </c>
      <c r="D39" s="220">
        <v>230200</v>
      </c>
      <c r="E39" s="233">
        <v>0</v>
      </c>
    </row>
    <row r="40" spans="2:5" ht="15.75">
      <c r="B40" s="233"/>
      <c r="C40" s="221"/>
      <c r="D40" s="222"/>
      <c r="E40" s="233"/>
    </row>
    <row r="41" spans="2:5" ht="15.75">
      <c r="B41" s="243">
        <f>SUM(B18:B40)</f>
        <v>563087.3</v>
      </c>
      <c r="C41" s="221"/>
      <c r="D41" s="223"/>
      <c r="E41" s="243">
        <f>SUM(E18:E40)</f>
        <v>563087.3</v>
      </c>
    </row>
    <row r="42" spans="2:5" ht="16.5" thickBot="1">
      <c r="B42" s="237">
        <f>SUM(B41+B17)</f>
        <v>2215019.73</v>
      </c>
      <c r="C42" s="224" t="s">
        <v>32</v>
      </c>
      <c r="D42" s="223"/>
      <c r="E42" s="237">
        <f>SUM(E17,E41)</f>
        <v>2215019.73</v>
      </c>
    </row>
    <row r="43" ht="16.5" thickTop="1"/>
    <row r="47" spans="1:5" ht="15.75">
      <c r="A47" s="486" t="s">
        <v>137</v>
      </c>
      <c r="B47" s="486"/>
      <c r="C47" s="226"/>
      <c r="D47" s="226"/>
      <c r="E47" s="296" t="s">
        <v>139</v>
      </c>
    </row>
    <row r="48" spans="1:5" ht="15.75">
      <c r="A48" s="227" t="s">
        <v>16</v>
      </c>
      <c r="B48" s="227" t="s">
        <v>138</v>
      </c>
      <c r="C48" s="227" t="s">
        <v>0</v>
      </c>
      <c r="D48" s="227" t="s">
        <v>133</v>
      </c>
      <c r="E48" s="227" t="s">
        <v>138</v>
      </c>
    </row>
    <row r="49" spans="1:5" ht="15.75">
      <c r="A49" s="235" t="s">
        <v>49</v>
      </c>
      <c r="B49" s="235" t="s">
        <v>49</v>
      </c>
      <c r="C49" s="222"/>
      <c r="D49" s="222"/>
      <c r="E49" s="235" t="s">
        <v>49</v>
      </c>
    </row>
    <row r="50" spans="1:5" ht="15.75">
      <c r="A50" s="233"/>
      <c r="B50" s="233"/>
      <c r="C50" s="218" t="s">
        <v>30</v>
      </c>
      <c r="D50" s="219"/>
      <c r="E50" s="244"/>
    </row>
    <row r="51" spans="1:5" ht="17.25">
      <c r="A51" s="233">
        <f>656778+310000+108000+120000+303204+131216</f>
        <v>1629198</v>
      </c>
      <c r="B51" s="236">
        <f>+E51</f>
        <v>16514</v>
      </c>
      <c r="C51" s="219" t="s">
        <v>11</v>
      </c>
      <c r="D51" s="228">
        <v>510000</v>
      </c>
      <c r="E51" s="245">
        <v>16514</v>
      </c>
    </row>
    <row r="52" spans="1:5" ht="17.25">
      <c r="A52" s="233">
        <f>120000+1490400+198720+695520+120000</f>
        <v>2624640</v>
      </c>
      <c r="B52" s="236">
        <f aca="true" t="shared" si="2" ref="B52:B63">+E52</f>
        <v>213734</v>
      </c>
      <c r="C52" s="219" t="s">
        <v>144</v>
      </c>
      <c r="D52" s="228">
        <v>521000</v>
      </c>
      <c r="E52" s="246">
        <v>213734</v>
      </c>
    </row>
    <row r="53" spans="1:5" ht="17.25">
      <c r="A53" s="233">
        <f>141600+5095000+158000</f>
        <v>5394600</v>
      </c>
      <c r="B53" s="236">
        <f t="shared" si="2"/>
        <v>333023</v>
      </c>
      <c r="C53" s="219" t="s">
        <v>145</v>
      </c>
      <c r="D53" s="228">
        <v>522000</v>
      </c>
      <c r="E53" s="246">
        <v>333023</v>
      </c>
    </row>
    <row r="54" spans="1:5" ht="17.25">
      <c r="A54" s="233">
        <f>38000+326000</f>
        <v>364000</v>
      </c>
      <c r="B54" s="236">
        <f t="shared" si="2"/>
        <v>27285</v>
      </c>
      <c r="C54" s="219" t="s">
        <v>3</v>
      </c>
      <c r="D54" s="228">
        <v>220400</v>
      </c>
      <c r="E54" s="246">
        <v>27285</v>
      </c>
    </row>
    <row r="55" spans="1:5" ht="17.25">
      <c r="A55" s="233">
        <f>446000+2811000</f>
        <v>3257000</v>
      </c>
      <c r="B55" s="236">
        <f t="shared" si="2"/>
        <v>172970</v>
      </c>
      <c r="C55" s="219" t="s">
        <v>4</v>
      </c>
      <c r="D55" s="228">
        <v>220600</v>
      </c>
      <c r="E55" s="246">
        <v>172970</v>
      </c>
    </row>
    <row r="56" spans="1:5" ht="17.25">
      <c r="A56" s="233">
        <f>82000+24000+70500+366000+15000</f>
        <v>557500</v>
      </c>
      <c r="B56" s="236">
        <f t="shared" si="2"/>
        <v>0</v>
      </c>
      <c r="C56" s="219" t="s">
        <v>5</v>
      </c>
      <c r="D56" s="228">
        <v>531000</v>
      </c>
      <c r="E56" s="246">
        <v>0</v>
      </c>
    </row>
    <row r="57" spans="1:5" ht="17.25">
      <c r="A57" s="233">
        <f>1873000+40000+30000+30000+40000+20000+30000+20000+50000+30000+30000+90000+20000+50000+150000+1094250+10000+100000+550000+20000+200000+150000+165000+10000+30000+10000+10000+2000+120000</f>
        <v>4974250</v>
      </c>
      <c r="B57" s="236">
        <f t="shared" si="2"/>
        <v>28683.15</v>
      </c>
      <c r="C57" s="219" t="s">
        <v>6</v>
      </c>
      <c r="D57" s="228">
        <v>532000</v>
      </c>
      <c r="E57" s="246">
        <v>28683.15</v>
      </c>
    </row>
    <row r="58" spans="1:5" ht="17.25">
      <c r="A58" s="233">
        <f>150000+160000+90000+980000+100000+20000+50000+2061080+100000+210000</f>
        <v>3921080</v>
      </c>
      <c r="B58" s="236">
        <f t="shared" si="2"/>
        <v>12950</v>
      </c>
      <c r="C58" s="219" t="s">
        <v>7</v>
      </c>
      <c r="D58" s="228">
        <v>533000</v>
      </c>
      <c r="E58" s="246">
        <v>12950</v>
      </c>
    </row>
    <row r="59" spans="1:5" ht="17.25">
      <c r="A59" s="233">
        <f>110000+770000+40000+10000</f>
        <v>930000</v>
      </c>
      <c r="B59" s="236">
        <f t="shared" si="2"/>
        <v>1760</v>
      </c>
      <c r="C59" s="219" t="s">
        <v>8</v>
      </c>
      <c r="D59" s="228">
        <v>534000</v>
      </c>
      <c r="E59" s="246">
        <v>1760</v>
      </c>
    </row>
    <row r="60" spans="1:5" ht="17.25">
      <c r="A60" s="233">
        <f>100000+40500+13000+7000+21000+25000+8500+8000+132000+100000+59000+38000+38000+10000+25000</f>
        <v>625000</v>
      </c>
      <c r="B60" s="236">
        <f t="shared" si="2"/>
        <v>0</v>
      </c>
      <c r="C60" s="219" t="s">
        <v>9</v>
      </c>
      <c r="D60" s="228">
        <v>541000</v>
      </c>
      <c r="E60" s="246">
        <v>0</v>
      </c>
    </row>
    <row r="61" spans="1:5" ht="17.25">
      <c r="A61" s="233">
        <f>88700+239000+179300+132000+132000+71000+132000+147000+132000+141000+349000+177000+362000+370000+53600+145000+185000+110000+287000+300000+100000+40000+640000</f>
        <v>4512600</v>
      </c>
      <c r="B61" s="236">
        <f t="shared" si="2"/>
        <v>0</v>
      </c>
      <c r="C61" s="219" t="s">
        <v>10</v>
      </c>
      <c r="D61" s="228">
        <v>542000</v>
      </c>
      <c r="E61" s="246">
        <v>0</v>
      </c>
    </row>
    <row r="62" spans="1:5" ht="17.25">
      <c r="A62" s="233">
        <f>60000+268000+3877332</f>
        <v>4205332</v>
      </c>
      <c r="B62" s="236">
        <f t="shared" si="2"/>
        <v>0</v>
      </c>
      <c r="C62" s="219" t="s">
        <v>13</v>
      </c>
      <c r="D62" s="220">
        <v>560000</v>
      </c>
      <c r="E62" s="246">
        <v>0</v>
      </c>
    </row>
    <row r="63" spans="1:5" ht="15.75">
      <c r="A63" s="233">
        <v>25000</v>
      </c>
      <c r="B63" s="236">
        <f t="shared" si="2"/>
        <v>0</v>
      </c>
      <c r="C63" s="219" t="s">
        <v>12</v>
      </c>
      <c r="D63" s="228">
        <v>550000</v>
      </c>
      <c r="E63" s="250">
        <v>0</v>
      </c>
    </row>
    <row r="64" spans="1:5" ht="16.5" thickBot="1">
      <c r="A64" s="237">
        <f>SUM(A51:A63)</f>
        <v>33020200</v>
      </c>
      <c r="B64" s="237">
        <f>SUM(B51:B63)</f>
        <v>806919.15</v>
      </c>
      <c r="C64" s="224"/>
      <c r="D64" s="219"/>
      <c r="E64" s="237">
        <f>SUM(E51:E63)</f>
        <v>806919.15</v>
      </c>
    </row>
    <row r="65" spans="1:5" ht="16.5" thickTop="1">
      <c r="A65" s="238"/>
      <c r="B65" s="236">
        <f>+E65</f>
        <v>0</v>
      </c>
      <c r="C65" s="219" t="s">
        <v>361</v>
      </c>
      <c r="D65" s="228">
        <v>441000</v>
      </c>
      <c r="E65" s="233"/>
    </row>
    <row r="66" spans="1:5" ht="15.75" hidden="1">
      <c r="A66" s="239"/>
      <c r="B66" s="236">
        <f aca="true" t="shared" si="3" ref="B66:B85">+E66</f>
        <v>0</v>
      </c>
      <c r="C66" s="219" t="s">
        <v>25</v>
      </c>
      <c r="D66" s="228">
        <v>412210</v>
      </c>
      <c r="E66" s="233"/>
    </row>
    <row r="67" spans="1:5" ht="15.75">
      <c r="A67" s="239"/>
      <c r="B67" s="236">
        <f t="shared" si="3"/>
        <v>0</v>
      </c>
      <c r="C67" s="219" t="s">
        <v>134</v>
      </c>
      <c r="D67" s="220">
        <v>110202</v>
      </c>
      <c r="E67" s="233">
        <v>0</v>
      </c>
    </row>
    <row r="68" spans="1:5" ht="15.75">
      <c r="A68" s="239"/>
      <c r="B68" s="236">
        <f t="shared" si="3"/>
        <v>7000</v>
      </c>
      <c r="C68" s="219" t="s">
        <v>126</v>
      </c>
      <c r="D68" s="228">
        <v>110605</v>
      </c>
      <c r="E68" s="233">
        <v>7000</v>
      </c>
    </row>
    <row r="69" spans="1:5" ht="15.75">
      <c r="A69" s="239"/>
      <c r="B69" s="236">
        <f t="shared" si="3"/>
        <v>0</v>
      </c>
      <c r="C69" s="219" t="s">
        <v>335</v>
      </c>
      <c r="D69" s="228">
        <v>110609</v>
      </c>
      <c r="E69" s="233">
        <v>0</v>
      </c>
    </row>
    <row r="70" spans="1:5" ht="15.75">
      <c r="A70" s="239"/>
      <c r="B70" s="236">
        <f t="shared" si="3"/>
        <v>901400</v>
      </c>
      <c r="C70" s="219" t="s">
        <v>135</v>
      </c>
      <c r="D70" s="220">
        <v>110606</v>
      </c>
      <c r="E70" s="233">
        <v>901400</v>
      </c>
    </row>
    <row r="71" spans="1:5" ht="15.75">
      <c r="A71" s="239"/>
      <c r="B71" s="236">
        <f t="shared" si="3"/>
        <v>26089.04</v>
      </c>
      <c r="C71" s="219" t="s">
        <v>26</v>
      </c>
      <c r="D71" s="220">
        <v>230102</v>
      </c>
      <c r="E71" s="233">
        <v>26089.04</v>
      </c>
    </row>
    <row r="72" spans="1:5" ht="15.75">
      <c r="A72" s="239"/>
      <c r="B72" s="236">
        <f t="shared" si="3"/>
        <v>177400</v>
      </c>
      <c r="C72" s="219" t="s">
        <v>323</v>
      </c>
      <c r="D72" s="220">
        <v>230108</v>
      </c>
      <c r="E72" s="233">
        <v>177400</v>
      </c>
    </row>
    <row r="73" spans="1:5" ht="15.75">
      <c r="A73" s="239"/>
      <c r="B73" s="236">
        <f t="shared" si="3"/>
        <v>0</v>
      </c>
      <c r="C73" s="219" t="s">
        <v>86</v>
      </c>
      <c r="D73" s="229">
        <v>230110</v>
      </c>
      <c r="E73" s="233">
        <v>0</v>
      </c>
    </row>
    <row r="74" spans="1:5" ht="15.75">
      <c r="A74" s="239"/>
      <c r="B74" s="236">
        <f t="shared" si="3"/>
        <v>0</v>
      </c>
      <c r="C74" s="219" t="s">
        <v>331</v>
      </c>
      <c r="D74" s="229">
        <v>230109</v>
      </c>
      <c r="E74" s="233">
        <v>0</v>
      </c>
    </row>
    <row r="75" spans="1:5" ht="15.75">
      <c r="A75" s="239"/>
      <c r="B75" s="236">
        <f t="shared" si="3"/>
        <v>0</v>
      </c>
      <c r="C75" s="219" t="s">
        <v>346</v>
      </c>
      <c r="D75" s="229">
        <v>230111</v>
      </c>
      <c r="E75" s="233">
        <v>0</v>
      </c>
    </row>
    <row r="76" spans="1:5" ht="15.75">
      <c r="A76" s="239"/>
      <c r="B76" s="236">
        <f t="shared" si="3"/>
        <v>0</v>
      </c>
      <c r="C76" s="219" t="s">
        <v>373</v>
      </c>
      <c r="D76" s="229">
        <v>230112</v>
      </c>
      <c r="E76" s="233">
        <v>0</v>
      </c>
    </row>
    <row r="77" spans="1:5" ht="15.75">
      <c r="A77" s="239"/>
      <c r="B77" s="236">
        <f t="shared" si="3"/>
        <v>0</v>
      </c>
      <c r="C77" s="221" t="s">
        <v>461</v>
      </c>
      <c r="D77" s="220">
        <v>230113</v>
      </c>
      <c r="E77" s="233">
        <v>0</v>
      </c>
    </row>
    <row r="78" spans="1:5" ht="15.75">
      <c r="A78" s="239"/>
      <c r="B78" s="236">
        <f t="shared" si="3"/>
        <v>0</v>
      </c>
      <c r="C78" s="221" t="s">
        <v>25</v>
      </c>
      <c r="D78" s="220">
        <v>230114</v>
      </c>
      <c r="E78" s="233">
        <v>0</v>
      </c>
    </row>
    <row r="79" spans="1:5" ht="15.75">
      <c r="A79" s="239"/>
      <c r="B79" s="236">
        <f t="shared" si="3"/>
        <v>0</v>
      </c>
      <c r="C79" s="221" t="s">
        <v>318</v>
      </c>
      <c r="D79" s="220">
        <v>230115</v>
      </c>
      <c r="E79" s="233">
        <v>0</v>
      </c>
    </row>
    <row r="80" spans="1:5" ht="15.75">
      <c r="A80" s="239"/>
      <c r="B80" s="236">
        <f t="shared" si="3"/>
        <v>0</v>
      </c>
      <c r="C80" s="221" t="s">
        <v>124</v>
      </c>
      <c r="D80" s="220">
        <v>230116</v>
      </c>
      <c r="E80" s="233">
        <v>0</v>
      </c>
    </row>
    <row r="81" spans="1:5" ht="15.75">
      <c r="A81" s="239"/>
      <c r="B81" s="236">
        <f t="shared" si="3"/>
        <v>0</v>
      </c>
      <c r="C81" s="219" t="s">
        <v>58</v>
      </c>
      <c r="D81" s="229">
        <v>210500</v>
      </c>
      <c r="E81" s="233">
        <v>0</v>
      </c>
    </row>
    <row r="82" spans="1:5" ht="15.75">
      <c r="A82" s="239"/>
      <c r="B82" s="236">
        <f t="shared" si="3"/>
        <v>291500</v>
      </c>
      <c r="C82" s="219" t="s">
        <v>14</v>
      </c>
      <c r="D82" s="229">
        <v>210400</v>
      </c>
      <c r="E82" s="233">
        <v>291500</v>
      </c>
    </row>
    <row r="83" spans="1:5" ht="15.75">
      <c r="A83" s="239"/>
      <c r="B83" s="236">
        <f t="shared" si="3"/>
        <v>10000</v>
      </c>
      <c r="C83" s="219" t="s">
        <v>15</v>
      </c>
      <c r="D83" s="220">
        <v>300000</v>
      </c>
      <c r="E83" s="233">
        <v>10000</v>
      </c>
    </row>
    <row r="84" spans="1:5" ht="15.75" hidden="1">
      <c r="A84" s="239"/>
      <c r="B84" s="236">
        <f t="shared" si="3"/>
        <v>0</v>
      </c>
      <c r="C84" s="230" t="s">
        <v>348</v>
      </c>
      <c r="D84" s="220">
        <v>441000</v>
      </c>
      <c r="E84" s="233"/>
    </row>
    <row r="85" spans="1:5" ht="15.75" hidden="1">
      <c r="A85" s="239"/>
      <c r="B85" s="236">
        <f t="shared" si="3"/>
        <v>0</v>
      </c>
      <c r="C85" s="230" t="s">
        <v>394</v>
      </c>
      <c r="D85" s="220">
        <v>441000</v>
      </c>
      <c r="E85" s="233"/>
    </row>
    <row r="86" spans="1:5" ht="15.75">
      <c r="A86" s="239"/>
      <c r="B86" s="236"/>
      <c r="C86" s="230"/>
      <c r="D86" s="231"/>
      <c r="E86" s="233">
        <v>0</v>
      </c>
    </row>
    <row r="87" spans="1:5" ht="15.75">
      <c r="A87" s="239"/>
      <c r="B87" s="243">
        <f>SUM(B65:B86)</f>
        <v>1413389.04</v>
      </c>
      <c r="C87" s="230"/>
      <c r="D87" s="223"/>
      <c r="E87" s="243">
        <f>SUM(E65:E86)</f>
        <v>1413389.04</v>
      </c>
    </row>
    <row r="88" spans="1:5" ht="16.5" thickBot="1">
      <c r="A88" s="240"/>
      <c r="B88" s="237">
        <f>SUM(B87,B64)</f>
        <v>2220308.19</v>
      </c>
      <c r="C88" s="232" t="s">
        <v>31</v>
      </c>
      <c r="D88" s="223"/>
      <c r="E88" s="237">
        <f>SUM(E87,E64)</f>
        <v>2220308.19</v>
      </c>
    </row>
    <row r="89" spans="2:5" ht="16.5" thickTop="1">
      <c r="B89" s="219"/>
      <c r="C89" s="295" t="s">
        <v>146</v>
      </c>
      <c r="D89" s="223"/>
      <c r="E89" s="219"/>
    </row>
    <row r="90" spans="2:5" ht="15.75">
      <c r="B90" s="247"/>
      <c r="C90" s="295" t="s">
        <v>149</v>
      </c>
      <c r="D90" s="223"/>
      <c r="E90" s="247"/>
    </row>
    <row r="91" spans="2:5" ht="15.75">
      <c r="B91" s="247">
        <f>SUM(B42-B88)</f>
        <v>-5288.459999999963</v>
      </c>
      <c r="C91" s="295" t="s">
        <v>147</v>
      </c>
      <c r="E91" s="247">
        <f>SUM(E42-E88)</f>
        <v>-5288.459999999963</v>
      </c>
    </row>
    <row r="92" spans="2:7" ht="16.5" thickBot="1">
      <c r="B92" s="248">
        <f>SUM(B7+B42-B88)</f>
        <v>23059660.61</v>
      </c>
      <c r="C92" s="295" t="s">
        <v>148</v>
      </c>
      <c r="E92" s="248">
        <f>SUM(E7+E42-E88)</f>
        <v>23059660.61</v>
      </c>
      <c r="F92" s="102">
        <f>+งบดุลบัญชี!K5</f>
        <v>23059660.61</v>
      </c>
      <c r="G92" s="102">
        <f>+F92-E92</f>
        <v>0</v>
      </c>
    </row>
    <row r="93" spans="2:5" ht="16.5" thickTop="1">
      <c r="B93" s="249"/>
      <c r="C93" s="295"/>
      <c r="E93" s="249"/>
    </row>
    <row r="95" spans="1:5" ht="15.75">
      <c r="A95" s="484" t="s">
        <v>370</v>
      </c>
      <c r="B95" s="484"/>
      <c r="C95" s="294" t="s">
        <v>33</v>
      </c>
      <c r="D95" s="484" t="s">
        <v>327</v>
      </c>
      <c r="E95" s="484"/>
    </row>
    <row r="96" spans="1:5" ht="15.75">
      <c r="A96" s="484" t="s">
        <v>436</v>
      </c>
      <c r="B96" s="484"/>
      <c r="C96" s="294" t="s">
        <v>267</v>
      </c>
      <c r="D96" s="484" t="s">
        <v>38</v>
      </c>
      <c r="E96" s="484"/>
    </row>
    <row r="97" spans="1:2" ht="15.75">
      <c r="A97" s="484" t="s">
        <v>437</v>
      </c>
      <c r="B97" s="484"/>
    </row>
    <row r="98" spans="1:5" ht="15.75">
      <c r="A98" s="234" t="s">
        <v>29</v>
      </c>
      <c r="D98" s="251" t="s">
        <v>140</v>
      </c>
      <c r="E98" s="241" t="s">
        <v>475</v>
      </c>
    </row>
    <row r="99" spans="1:5" ht="15.75">
      <c r="A99" s="485" t="s">
        <v>136</v>
      </c>
      <c r="B99" s="485"/>
      <c r="C99" s="485"/>
      <c r="D99" s="485"/>
      <c r="E99" s="485"/>
    </row>
    <row r="100" ht="15.75">
      <c r="E100" s="320" t="s">
        <v>362</v>
      </c>
    </row>
    <row r="101" spans="1:5" ht="15.75">
      <c r="A101" s="486" t="s">
        <v>137</v>
      </c>
      <c r="B101" s="486"/>
      <c r="C101" s="226"/>
      <c r="D101" s="226"/>
      <c r="E101" s="321" t="s">
        <v>139</v>
      </c>
    </row>
    <row r="102" spans="1:5" ht="15.75">
      <c r="A102" s="227" t="s">
        <v>16</v>
      </c>
      <c r="B102" s="227" t="s">
        <v>138</v>
      </c>
      <c r="C102" s="227" t="s">
        <v>0</v>
      </c>
      <c r="D102" s="227" t="s">
        <v>133</v>
      </c>
      <c r="E102" s="227" t="s">
        <v>138</v>
      </c>
    </row>
    <row r="103" spans="1:5" ht="15.75">
      <c r="A103" s="235" t="s">
        <v>49</v>
      </c>
      <c r="B103" s="235" t="s">
        <v>49</v>
      </c>
      <c r="C103" s="222"/>
      <c r="D103" s="222"/>
      <c r="E103" s="235" t="s">
        <v>49</v>
      </c>
    </row>
    <row r="104" spans="1:5" ht="15.75">
      <c r="A104" s="233"/>
      <c r="B104" s="242">
        <v>23064949.07</v>
      </c>
      <c r="C104" s="218" t="s">
        <v>141</v>
      </c>
      <c r="D104" s="219"/>
      <c r="E104" s="242">
        <f>+E92</f>
        <v>23059660.61</v>
      </c>
    </row>
    <row r="105" spans="1:5" ht="15.75">
      <c r="A105" s="233"/>
      <c r="B105" s="233"/>
      <c r="C105" s="218" t="s">
        <v>142</v>
      </c>
      <c r="D105" s="219"/>
      <c r="E105" s="233"/>
    </row>
    <row r="106" spans="1:5" ht="15.75">
      <c r="A106" s="236">
        <v>198000</v>
      </c>
      <c r="B106" s="236">
        <f>+E106+B9</f>
        <v>0</v>
      </c>
      <c r="C106" s="219" t="s">
        <v>19</v>
      </c>
      <c r="D106" s="220">
        <v>411000</v>
      </c>
      <c r="E106" s="233">
        <v>0</v>
      </c>
    </row>
    <row r="107" spans="1:5" ht="15.75">
      <c r="A107" s="236">
        <v>260200</v>
      </c>
      <c r="B107" s="236">
        <f aca="true" t="shared" si="4" ref="B107:B113">+E107+B10</f>
        <v>37450</v>
      </c>
      <c r="C107" s="219" t="s">
        <v>319</v>
      </c>
      <c r="D107" s="220">
        <v>412000</v>
      </c>
      <c r="E107" s="233">
        <v>17470</v>
      </c>
    </row>
    <row r="108" spans="1:5" ht="15.75">
      <c r="A108" s="236">
        <v>300500</v>
      </c>
      <c r="B108" s="236">
        <f t="shared" si="4"/>
        <v>0</v>
      </c>
      <c r="C108" s="219" t="s">
        <v>21</v>
      </c>
      <c r="D108" s="220">
        <v>413000</v>
      </c>
      <c r="E108" s="233">
        <v>0</v>
      </c>
    </row>
    <row r="109" spans="1:5" ht="15.75">
      <c r="A109" s="236">
        <v>200000</v>
      </c>
      <c r="B109" s="236">
        <f t="shared" si="4"/>
        <v>26020</v>
      </c>
      <c r="C109" s="219" t="s">
        <v>23</v>
      </c>
      <c r="D109" s="220">
        <v>414000</v>
      </c>
      <c r="E109" s="233">
        <v>14740</v>
      </c>
    </row>
    <row r="110" spans="1:5" ht="15.75">
      <c r="A110" s="236">
        <v>60000</v>
      </c>
      <c r="B110" s="236">
        <f t="shared" si="4"/>
        <v>200550</v>
      </c>
      <c r="C110" s="219" t="s">
        <v>20</v>
      </c>
      <c r="D110" s="220">
        <v>415000</v>
      </c>
      <c r="E110" s="233">
        <v>49020</v>
      </c>
    </row>
    <row r="111" spans="1:5" ht="15.75">
      <c r="A111" s="236">
        <v>500</v>
      </c>
      <c r="B111" s="236">
        <f t="shared" si="4"/>
        <v>0</v>
      </c>
      <c r="C111" s="219" t="s">
        <v>121</v>
      </c>
      <c r="D111" s="220">
        <v>416000</v>
      </c>
      <c r="E111" s="233">
        <v>0</v>
      </c>
    </row>
    <row r="112" spans="1:5" ht="15.75">
      <c r="A112" s="236">
        <v>14141000</v>
      </c>
      <c r="B112" s="236">
        <f t="shared" si="4"/>
        <v>3072152.94</v>
      </c>
      <c r="C112" s="219" t="s">
        <v>50</v>
      </c>
      <c r="D112" s="220">
        <v>421000</v>
      </c>
      <c r="E112" s="233">
        <v>1603010.51</v>
      </c>
    </row>
    <row r="113" spans="1:5" ht="15.75">
      <c r="A113" s="236">
        <v>17860000</v>
      </c>
      <c r="B113" s="236">
        <f t="shared" si="4"/>
        <v>1739770</v>
      </c>
      <c r="C113" s="219" t="s">
        <v>22</v>
      </c>
      <c r="D113" s="220">
        <v>431002</v>
      </c>
      <c r="E113" s="233">
        <v>1739770</v>
      </c>
    </row>
    <row r="114" spans="1:5" ht="16.5" thickBot="1">
      <c r="A114" s="237">
        <f>SUM(A106:A113)</f>
        <v>33020200</v>
      </c>
      <c r="B114" s="237">
        <f>SUM(B106:B113)</f>
        <v>5075942.9399999995</v>
      </c>
      <c r="C114" s="219"/>
      <c r="D114" s="220"/>
      <c r="E114" s="237">
        <f>SUM(E106:E113)</f>
        <v>3424010.51</v>
      </c>
    </row>
    <row r="115" spans="1:6" ht="16.5" thickTop="1">
      <c r="A115" s="238"/>
      <c r="B115" s="236">
        <f>+E115+B18</f>
        <v>4303766</v>
      </c>
      <c r="C115" s="219" t="s">
        <v>492</v>
      </c>
      <c r="D115" s="220">
        <v>441000</v>
      </c>
      <c r="E115" s="233">
        <f>+กระแสเงินสด!C53</f>
        <v>4303766</v>
      </c>
      <c r="F115" s="102">
        <f>+B114-B161</f>
        <v>1826437.289999999</v>
      </c>
    </row>
    <row r="116" spans="1:5" ht="15.75">
      <c r="A116" s="239"/>
      <c r="B116" s="236">
        <f aca="true" t="shared" si="5" ref="B116:B136">+E116+B19</f>
        <v>0</v>
      </c>
      <c r="C116" s="219" t="s">
        <v>120</v>
      </c>
      <c r="D116" s="220">
        <v>441000</v>
      </c>
      <c r="E116" s="233">
        <v>0</v>
      </c>
    </row>
    <row r="117" spans="1:5" ht="15.75">
      <c r="A117" s="239"/>
      <c r="B117" s="236">
        <f t="shared" si="5"/>
        <v>4080.11</v>
      </c>
      <c r="C117" s="219" t="s">
        <v>26</v>
      </c>
      <c r="D117" s="220">
        <v>230102</v>
      </c>
      <c r="E117" s="233">
        <v>1082.81</v>
      </c>
    </row>
    <row r="118" spans="1:5" ht="15.75">
      <c r="A118" s="223"/>
      <c r="B118" s="236">
        <f t="shared" si="5"/>
        <v>0</v>
      </c>
      <c r="C118" s="219" t="s">
        <v>143</v>
      </c>
      <c r="D118" s="220">
        <v>230105</v>
      </c>
      <c r="E118" s="233">
        <v>0</v>
      </c>
    </row>
    <row r="119" spans="1:5" ht="15.75">
      <c r="A119" s="230"/>
      <c r="B119" s="236">
        <f t="shared" si="5"/>
        <v>595590</v>
      </c>
      <c r="C119" s="219" t="s">
        <v>27</v>
      </c>
      <c r="D119" s="220">
        <v>230108</v>
      </c>
      <c r="E119" s="233">
        <v>40750</v>
      </c>
    </row>
    <row r="120" spans="1:5" ht="15.75">
      <c r="A120" s="230"/>
      <c r="B120" s="236">
        <f t="shared" si="5"/>
        <v>0</v>
      </c>
      <c r="C120" s="219" t="s">
        <v>316</v>
      </c>
      <c r="D120" s="220">
        <v>230109</v>
      </c>
      <c r="E120" s="233">
        <v>0</v>
      </c>
    </row>
    <row r="121" spans="1:5" ht="15.75">
      <c r="A121" s="230"/>
      <c r="B121" s="236">
        <f t="shared" si="5"/>
        <v>0</v>
      </c>
      <c r="C121" s="221" t="s">
        <v>86</v>
      </c>
      <c r="D121" s="220">
        <v>230110</v>
      </c>
      <c r="E121" s="233">
        <v>0</v>
      </c>
    </row>
    <row r="122" spans="1:5" ht="15.75">
      <c r="A122" s="230"/>
      <c r="B122" s="236">
        <f t="shared" si="5"/>
        <v>0</v>
      </c>
      <c r="C122" s="221" t="s">
        <v>346</v>
      </c>
      <c r="D122" s="220">
        <v>230111</v>
      </c>
      <c r="E122" s="233">
        <v>0</v>
      </c>
    </row>
    <row r="123" spans="1:5" ht="15.75">
      <c r="A123" s="230"/>
      <c r="B123" s="236">
        <f t="shared" si="5"/>
        <v>2099</v>
      </c>
      <c r="C123" s="221" t="s">
        <v>373</v>
      </c>
      <c r="D123" s="220">
        <v>230112</v>
      </c>
      <c r="E123" s="233">
        <v>2099</v>
      </c>
    </row>
    <row r="124" spans="1:5" ht="15.75">
      <c r="A124" s="230"/>
      <c r="B124" s="236">
        <f t="shared" si="5"/>
        <v>12250</v>
      </c>
      <c r="C124" s="221" t="s">
        <v>461</v>
      </c>
      <c r="D124" s="220">
        <v>230113</v>
      </c>
      <c r="E124" s="233">
        <v>11200</v>
      </c>
    </row>
    <row r="125" spans="1:5" ht="15.75">
      <c r="A125" s="230"/>
      <c r="B125" s="236">
        <f t="shared" si="5"/>
        <v>0</v>
      </c>
      <c r="C125" s="221" t="s">
        <v>25</v>
      </c>
      <c r="D125" s="220">
        <v>230114</v>
      </c>
      <c r="E125" s="233">
        <v>0</v>
      </c>
    </row>
    <row r="126" spans="1:5" ht="15.75">
      <c r="A126" s="230"/>
      <c r="B126" s="236">
        <f t="shared" si="5"/>
        <v>2100</v>
      </c>
      <c r="C126" s="221" t="s">
        <v>318</v>
      </c>
      <c r="D126" s="220">
        <v>230115</v>
      </c>
      <c r="E126" s="233">
        <v>0</v>
      </c>
    </row>
    <row r="127" spans="1:5" ht="15.75">
      <c r="A127" s="230"/>
      <c r="B127" s="236">
        <f t="shared" si="5"/>
        <v>1500</v>
      </c>
      <c r="C127" s="221" t="s">
        <v>124</v>
      </c>
      <c r="D127" s="220">
        <v>230116</v>
      </c>
      <c r="E127" s="233">
        <v>0</v>
      </c>
    </row>
    <row r="128" spans="1:5" ht="15.75">
      <c r="A128" s="230"/>
      <c r="B128" s="236">
        <f t="shared" si="5"/>
        <v>0</v>
      </c>
      <c r="C128" s="219" t="s">
        <v>56</v>
      </c>
      <c r="D128" s="220">
        <v>110602</v>
      </c>
      <c r="E128" s="233">
        <v>0</v>
      </c>
    </row>
    <row r="129" spans="2:5" ht="15.75">
      <c r="B129" s="236">
        <f t="shared" si="5"/>
        <v>0</v>
      </c>
      <c r="C129" s="219" t="s">
        <v>59</v>
      </c>
      <c r="D129" s="220">
        <v>110604</v>
      </c>
      <c r="E129" s="233">
        <v>0</v>
      </c>
    </row>
    <row r="130" spans="2:5" ht="15.75">
      <c r="B130" s="236">
        <f t="shared" si="5"/>
        <v>0</v>
      </c>
      <c r="C130" s="219" t="s">
        <v>126</v>
      </c>
      <c r="D130" s="220">
        <v>110605</v>
      </c>
      <c r="E130" s="233">
        <v>0</v>
      </c>
    </row>
    <row r="131" spans="2:5" ht="15.75">
      <c r="B131" s="236">
        <f t="shared" si="5"/>
        <v>0</v>
      </c>
      <c r="C131" s="219" t="s">
        <v>135</v>
      </c>
      <c r="D131" s="220">
        <v>110606</v>
      </c>
      <c r="E131" s="233">
        <v>0</v>
      </c>
    </row>
    <row r="132" spans="2:5" ht="15.75">
      <c r="B132" s="236">
        <f t="shared" si="5"/>
        <v>0</v>
      </c>
      <c r="C132" s="221" t="s">
        <v>343</v>
      </c>
      <c r="D132" s="220">
        <v>110605</v>
      </c>
      <c r="E132" s="233">
        <v>0</v>
      </c>
    </row>
    <row r="133" spans="2:5" ht="15.75">
      <c r="B133" s="236">
        <f t="shared" si="5"/>
        <v>1200</v>
      </c>
      <c r="C133" s="221" t="s">
        <v>474</v>
      </c>
      <c r="D133" s="220">
        <v>110606</v>
      </c>
      <c r="E133" s="233">
        <v>600</v>
      </c>
    </row>
    <row r="134" spans="2:5" ht="15.75">
      <c r="B134" s="236">
        <f t="shared" si="5"/>
        <v>0</v>
      </c>
      <c r="C134" s="221" t="s">
        <v>392</v>
      </c>
      <c r="D134" s="220">
        <v>110609</v>
      </c>
      <c r="E134" s="233">
        <v>0</v>
      </c>
    </row>
    <row r="135" spans="2:5" ht="15.75">
      <c r="B135" s="236">
        <f t="shared" si="5"/>
        <v>0</v>
      </c>
      <c r="C135" s="221" t="s">
        <v>372</v>
      </c>
      <c r="D135" s="220">
        <v>522000</v>
      </c>
      <c r="E135" s="233">
        <v>0</v>
      </c>
    </row>
    <row r="136" spans="2:5" ht="15.75">
      <c r="B136" s="236">
        <f t="shared" si="5"/>
        <v>0</v>
      </c>
      <c r="C136" s="221" t="s">
        <v>289</v>
      </c>
      <c r="D136" s="220">
        <v>230200</v>
      </c>
      <c r="E136" s="233">
        <v>0</v>
      </c>
    </row>
    <row r="137" spans="2:5" ht="15.75">
      <c r="B137" s="233"/>
      <c r="C137" s="221"/>
      <c r="D137" s="222"/>
      <c r="E137" s="233"/>
    </row>
    <row r="138" spans="2:5" ht="15.75">
      <c r="B138" s="243">
        <f>SUM(B115:B137)</f>
        <v>4922585.11</v>
      </c>
      <c r="C138" s="221"/>
      <c r="D138" s="223"/>
      <c r="E138" s="243">
        <f>SUM(E115:E137)</f>
        <v>4359497.81</v>
      </c>
    </row>
    <row r="139" spans="2:5" ht="16.5" thickBot="1">
      <c r="B139" s="237">
        <f>SUM(B138+B114)</f>
        <v>9998528.05</v>
      </c>
      <c r="C139" s="224" t="s">
        <v>32</v>
      </c>
      <c r="D139" s="223"/>
      <c r="E139" s="237">
        <f>SUM(E114,E138)</f>
        <v>7783508.319999999</v>
      </c>
    </row>
    <row r="140" ht="16.5" thickTop="1"/>
    <row r="144" spans="1:6" ht="15.75">
      <c r="A144" s="486" t="s">
        <v>137</v>
      </c>
      <c r="B144" s="486"/>
      <c r="C144" s="226"/>
      <c r="D144" s="226"/>
      <c r="E144" s="321" t="s">
        <v>139</v>
      </c>
      <c r="F144" s="102">
        <f>+B114-B161</f>
        <v>1826437.289999999</v>
      </c>
    </row>
    <row r="145" spans="1:5" ht="15.75">
      <c r="A145" s="227" t="s">
        <v>16</v>
      </c>
      <c r="B145" s="227" t="s">
        <v>138</v>
      </c>
      <c r="C145" s="227" t="s">
        <v>0</v>
      </c>
      <c r="D145" s="227" t="s">
        <v>133</v>
      </c>
      <c r="E145" s="227" t="s">
        <v>138</v>
      </c>
    </row>
    <row r="146" spans="1:5" ht="15.75">
      <c r="A146" s="235" t="s">
        <v>49</v>
      </c>
      <c r="B146" s="235" t="s">
        <v>49</v>
      </c>
      <c r="C146" s="222"/>
      <c r="D146" s="222"/>
      <c r="E146" s="235" t="s">
        <v>49</v>
      </c>
    </row>
    <row r="147" spans="1:5" ht="15.75">
      <c r="A147" s="233"/>
      <c r="B147" s="233"/>
      <c r="C147" s="218" t="s">
        <v>30</v>
      </c>
      <c r="D147" s="219"/>
      <c r="E147" s="244"/>
    </row>
    <row r="148" spans="1:5" ht="17.25">
      <c r="A148" s="233">
        <f>656778+310000+108000+120000+303204+131216</f>
        <v>1629198</v>
      </c>
      <c r="B148" s="236">
        <f>+E148+B51</f>
        <v>33384</v>
      </c>
      <c r="C148" s="219" t="s">
        <v>11</v>
      </c>
      <c r="D148" s="228">
        <v>510000</v>
      </c>
      <c r="E148" s="245">
        <v>16870</v>
      </c>
    </row>
    <row r="149" spans="1:5" ht="17.25">
      <c r="A149" s="233">
        <f>120000+1490400+198720+695520+120000</f>
        <v>2624640</v>
      </c>
      <c r="B149" s="236">
        <f aca="true" t="shared" si="6" ref="B149:B160">+E149+B52</f>
        <v>432454</v>
      </c>
      <c r="C149" s="219" t="s">
        <v>144</v>
      </c>
      <c r="D149" s="228">
        <v>521000</v>
      </c>
      <c r="E149" s="246">
        <v>218720</v>
      </c>
    </row>
    <row r="150" spans="1:5" ht="17.25">
      <c r="A150" s="233">
        <f>141600+5095000+158000</f>
        <v>5394600</v>
      </c>
      <c r="B150" s="236">
        <f t="shared" si="6"/>
        <v>689130</v>
      </c>
      <c r="C150" s="219" t="s">
        <v>145</v>
      </c>
      <c r="D150" s="228">
        <v>522000</v>
      </c>
      <c r="E150" s="246">
        <v>356107</v>
      </c>
    </row>
    <row r="151" spans="1:5" ht="17.25">
      <c r="A151" s="233">
        <f>38000+326000</f>
        <v>364000</v>
      </c>
      <c r="B151" s="236">
        <f t="shared" si="6"/>
        <v>82320</v>
      </c>
      <c r="C151" s="219" t="s">
        <v>3</v>
      </c>
      <c r="D151" s="228">
        <v>220400</v>
      </c>
      <c r="E151" s="246">
        <v>55035</v>
      </c>
    </row>
    <row r="152" spans="1:5" ht="17.25">
      <c r="A152" s="233">
        <f>446000+2811000</f>
        <v>3257000</v>
      </c>
      <c r="B152" s="236">
        <f t="shared" si="6"/>
        <v>353030</v>
      </c>
      <c r="C152" s="219" t="s">
        <v>4</v>
      </c>
      <c r="D152" s="228">
        <v>220600</v>
      </c>
      <c r="E152" s="246">
        <v>180060</v>
      </c>
    </row>
    <row r="153" spans="1:6" ht="17.25">
      <c r="A153" s="233">
        <f>82000+24000+70500+366000+15000</f>
        <v>557500</v>
      </c>
      <c r="B153" s="236">
        <f t="shared" si="6"/>
        <v>31574</v>
      </c>
      <c r="C153" s="219" t="s">
        <v>5</v>
      </c>
      <c r="D153" s="228">
        <v>531000</v>
      </c>
      <c r="E153" s="246">
        <v>31574</v>
      </c>
      <c r="F153" s="102">
        <f>SUM(E148:E152)</f>
        <v>826792</v>
      </c>
    </row>
    <row r="154" spans="1:5" ht="17.25">
      <c r="A154" s="233">
        <f>1873000+40000+30000+30000+40000+20000+30000+20000+50000+30000+30000+90000+20000+50000+150000+1094250+10000+100000+550000+20000+200000+150000+165000+10000+30000+10000+10000+2000+120000</f>
        <v>4974250</v>
      </c>
      <c r="B154" s="236">
        <f t="shared" si="6"/>
        <v>396264.66000000003</v>
      </c>
      <c r="C154" s="219" t="s">
        <v>6</v>
      </c>
      <c r="D154" s="228">
        <v>532000</v>
      </c>
      <c r="E154" s="246">
        <v>367581.51</v>
      </c>
    </row>
    <row r="155" spans="1:5" ht="17.25">
      <c r="A155" s="233">
        <f>150000+160000+90000+980000+100000+20000+50000+2061080+100000+210000</f>
        <v>3921080</v>
      </c>
      <c r="B155" s="236">
        <f t="shared" si="6"/>
        <v>160875</v>
      </c>
      <c r="C155" s="219" t="s">
        <v>7</v>
      </c>
      <c r="D155" s="228">
        <v>533000</v>
      </c>
      <c r="E155" s="246">
        <v>147925</v>
      </c>
    </row>
    <row r="156" spans="1:5" ht="17.25">
      <c r="A156" s="233">
        <f>110000+770000+40000+10000</f>
        <v>930000</v>
      </c>
      <c r="B156" s="236">
        <f t="shared" si="6"/>
        <v>113313.99</v>
      </c>
      <c r="C156" s="219" t="s">
        <v>8</v>
      </c>
      <c r="D156" s="228">
        <v>534000</v>
      </c>
      <c r="E156" s="246">
        <v>111553.99</v>
      </c>
    </row>
    <row r="157" spans="1:5" ht="17.25">
      <c r="A157" s="233">
        <f>100000+40500+13000+7000+21000+25000+8500+8000+132000+100000+59000+38000+38000+10000+25000</f>
        <v>625000</v>
      </c>
      <c r="B157" s="236">
        <f t="shared" si="6"/>
        <v>13160</v>
      </c>
      <c r="C157" s="219" t="s">
        <v>9</v>
      </c>
      <c r="D157" s="228">
        <v>541000</v>
      </c>
      <c r="E157" s="246">
        <v>13160</v>
      </c>
    </row>
    <row r="158" spans="1:5" ht="17.25">
      <c r="A158" s="233">
        <f>88700+239000+179300+132000+132000+71000+132000+147000+132000+141000+349000+177000+362000+370000+53600+145000+185000+110000+287000+300000+100000+40000+640000</f>
        <v>4512600</v>
      </c>
      <c r="B158" s="236">
        <f t="shared" si="6"/>
        <v>0</v>
      </c>
      <c r="C158" s="219" t="s">
        <v>10</v>
      </c>
      <c r="D158" s="228">
        <v>542000</v>
      </c>
      <c r="E158" s="246">
        <v>0</v>
      </c>
    </row>
    <row r="159" spans="1:5" ht="17.25">
      <c r="A159" s="233">
        <f>60000+268000+3877332</f>
        <v>4205332</v>
      </c>
      <c r="B159" s="236">
        <f t="shared" si="6"/>
        <v>944000</v>
      </c>
      <c r="C159" s="219" t="s">
        <v>13</v>
      </c>
      <c r="D159" s="220">
        <v>560000</v>
      </c>
      <c r="E159" s="246">
        <v>944000</v>
      </c>
    </row>
    <row r="160" spans="1:5" ht="15.75">
      <c r="A160" s="233">
        <v>25000</v>
      </c>
      <c r="B160" s="236">
        <f t="shared" si="6"/>
        <v>0</v>
      </c>
      <c r="C160" s="219" t="s">
        <v>12</v>
      </c>
      <c r="D160" s="228">
        <v>550000</v>
      </c>
      <c r="E160" s="250">
        <v>0</v>
      </c>
    </row>
    <row r="161" spans="1:5" ht="16.5" thickBot="1">
      <c r="A161" s="237">
        <f>SUM(A148:A160)</f>
        <v>33020200</v>
      </c>
      <c r="B161" s="237">
        <f>SUM(B148:B160)</f>
        <v>3249505.6500000004</v>
      </c>
      <c r="C161" s="224"/>
      <c r="D161" s="219"/>
      <c r="E161" s="237">
        <f>SUM(E148:E160)</f>
        <v>2442586.5</v>
      </c>
    </row>
    <row r="162" spans="1:5" ht="16.5" thickTop="1">
      <c r="A162" s="238"/>
      <c r="B162" s="236">
        <f>+E162+B65</f>
        <v>112945</v>
      </c>
      <c r="C162" s="219" t="s">
        <v>493</v>
      </c>
      <c r="D162" s="228">
        <v>441000</v>
      </c>
      <c r="E162" s="233">
        <f>+กระแสเงินสด!C76</f>
        <v>112945</v>
      </c>
    </row>
    <row r="163" spans="1:5" ht="15.75">
      <c r="A163" s="239"/>
      <c r="B163" s="236">
        <f aca="true" t="shared" si="7" ref="B163:B182">+E163+B66</f>
        <v>0</v>
      </c>
      <c r="C163" s="219" t="s">
        <v>25</v>
      </c>
      <c r="D163" s="228">
        <v>412210</v>
      </c>
      <c r="E163" s="233"/>
    </row>
    <row r="164" spans="1:5" ht="15.75">
      <c r="A164" s="239"/>
      <c r="B164" s="236">
        <f t="shared" si="7"/>
        <v>0</v>
      </c>
      <c r="C164" s="219" t="s">
        <v>134</v>
      </c>
      <c r="D164" s="220">
        <v>110202</v>
      </c>
      <c r="E164" s="233">
        <v>0</v>
      </c>
    </row>
    <row r="165" spans="1:5" ht="15.75">
      <c r="A165" s="239"/>
      <c r="B165" s="236">
        <f t="shared" si="7"/>
        <v>22600</v>
      </c>
      <c r="C165" s="219" t="s">
        <v>126</v>
      </c>
      <c r="D165" s="228">
        <v>110605</v>
      </c>
      <c r="E165" s="233">
        <v>15600</v>
      </c>
    </row>
    <row r="166" spans="1:5" ht="15.75">
      <c r="A166" s="239"/>
      <c r="B166" s="236">
        <f t="shared" si="7"/>
        <v>0</v>
      </c>
      <c r="C166" s="219" t="s">
        <v>335</v>
      </c>
      <c r="D166" s="228">
        <v>110609</v>
      </c>
      <c r="E166" s="233"/>
    </row>
    <row r="167" spans="1:5" ht="15.75">
      <c r="A167" s="239"/>
      <c r="B167" s="236">
        <f t="shared" si="7"/>
        <v>1914945</v>
      </c>
      <c r="C167" s="219" t="s">
        <v>135</v>
      </c>
      <c r="D167" s="220">
        <v>110606</v>
      </c>
      <c r="E167" s="233">
        <v>1013545</v>
      </c>
    </row>
    <row r="168" spans="1:5" ht="15.75">
      <c r="A168" s="239"/>
      <c r="B168" s="236">
        <f t="shared" si="7"/>
        <v>29086.34</v>
      </c>
      <c r="C168" s="219" t="s">
        <v>26</v>
      </c>
      <c r="D168" s="220">
        <v>230102</v>
      </c>
      <c r="E168" s="233">
        <v>2997.3</v>
      </c>
    </row>
    <row r="169" spans="1:5" ht="15.75">
      <c r="A169" s="239"/>
      <c r="B169" s="236">
        <f t="shared" si="7"/>
        <v>188355</v>
      </c>
      <c r="C169" s="219" t="s">
        <v>323</v>
      </c>
      <c r="D169" s="220">
        <v>230108</v>
      </c>
      <c r="E169" s="233">
        <v>10955</v>
      </c>
    </row>
    <row r="170" spans="1:5" ht="15.75">
      <c r="A170" s="239"/>
      <c r="B170" s="236">
        <f t="shared" si="7"/>
        <v>0</v>
      </c>
      <c r="C170" s="219" t="s">
        <v>86</v>
      </c>
      <c r="D170" s="229">
        <v>230110</v>
      </c>
      <c r="E170" s="233">
        <v>0</v>
      </c>
    </row>
    <row r="171" spans="1:5" ht="15.75">
      <c r="A171" s="239"/>
      <c r="B171" s="236">
        <f t="shared" si="7"/>
        <v>0</v>
      </c>
      <c r="C171" s="219" t="s">
        <v>331</v>
      </c>
      <c r="D171" s="229">
        <v>230109</v>
      </c>
      <c r="E171" s="233">
        <v>0</v>
      </c>
    </row>
    <row r="172" spans="1:5" ht="15.75">
      <c r="A172" s="239"/>
      <c r="B172" s="236">
        <f t="shared" si="7"/>
        <v>0</v>
      </c>
      <c r="C172" s="219" t="s">
        <v>346</v>
      </c>
      <c r="D172" s="229">
        <v>230111</v>
      </c>
      <c r="E172" s="233">
        <v>0</v>
      </c>
    </row>
    <row r="173" spans="1:5" ht="15.75">
      <c r="A173" s="239"/>
      <c r="B173" s="236">
        <f t="shared" si="7"/>
        <v>2099</v>
      </c>
      <c r="C173" s="219" t="s">
        <v>373</v>
      </c>
      <c r="D173" s="229">
        <v>230112</v>
      </c>
      <c r="E173" s="233">
        <v>2099</v>
      </c>
    </row>
    <row r="174" spans="1:5" ht="15.75">
      <c r="A174" s="239"/>
      <c r="B174" s="236">
        <f t="shared" si="7"/>
        <v>0</v>
      </c>
      <c r="C174" s="221" t="s">
        <v>461</v>
      </c>
      <c r="D174" s="220">
        <v>230113</v>
      </c>
      <c r="E174" s="233">
        <v>0</v>
      </c>
    </row>
    <row r="175" spans="1:5" ht="15.75">
      <c r="A175" s="239"/>
      <c r="B175" s="236">
        <f t="shared" si="7"/>
        <v>0</v>
      </c>
      <c r="C175" s="221" t="s">
        <v>25</v>
      </c>
      <c r="D175" s="220">
        <v>230114</v>
      </c>
      <c r="E175" s="233">
        <v>0</v>
      </c>
    </row>
    <row r="176" spans="1:5" ht="15.75">
      <c r="A176" s="239"/>
      <c r="B176" s="236">
        <f t="shared" si="7"/>
        <v>0</v>
      </c>
      <c r="C176" s="221" t="s">
        <v>318</v>
      </c>
      <c r="D176" s="220">
        <v>230115</v>
      </c>
      <c r="E176" s="233">
        <v>0</v>
      </c>
    </row>
    <row r="177" spans="1:5" ht="15.75">
      <c r="A177" s="239"/>
      <c r="B177" s="236">
        <f t="shared" si="7"/>
        <v>0</v>
      </c>
      <c r="C177" s="221" t="s">
        <v>124</v>
      </c>
      <c r="D177" s="220">
        <v>230116</v>
      </c>
      <c r="E177" s="233">
        <v>0</v>
      </c>
    </row>
    <row r="178" spans="1:5" ht="15.75">
      <c r="A178" s="239"/>
      <c r="B178" s="236">
        <f t="shared" si="7"/>
        <v>0</v>
      </c>
      <c r="C178" s="219" t="s">
        <v>58</v>
      </c>
      <c r="D178" s="229">
        <v>210500</v>
      </c>
      <c r="E178" s="233">
        <v>0</v>
      </c>
    </row>
    <row r="179" spans="1:5" ht="15.75">
      <c r="A179" s="239"/>
      <c r="B179" s="236">
        <f t="shared" si="7"/>
        <v>342400</v>
      </c>
      <c r="C179" s="219" t="s">
        <v>14</v>
      </c>
      <c r="D179" s="229">
        <v>210400</v>
      </c>
      <c r="E179" s="233">
        <v>50900</v>
      </c>
    </row>
    <row r="180" spans="1:5" ht="15.75">
      <c r="A180" s="239"/>
      <c r="B180" s="236">
        <f t="shared" si="7"/>
        <v>10000</v>
      </c>
      <c r="C180" s="219" t="s">
        <v>15</v>
      </c>
      <c r="D180" s="220">
        <v>300000</v>
      </c>
      <c r="E180" s="233">
        <v>0</v>
      </c>
    </row>
    <row r="181" spans="1:5" ht="15.75" hidden="1">
      <c r="A181" s="239"/>
      <c r="B181" s="236">
        <f t="shared" si="7"/>
        <v>0</v>
      </c>
      <c r="C181" s="230" t="s">
        <v>348</v>
      </c>
      <c r="D181" s="220">
        <v>441000</v>
      </c>
      <c r="E181" s="233"/>
    </row>
    <row r="182" spans="1:5" ht="15.75" hidden="1">
      <c r="A182" s="239"/>
      <c r="B182" s="236">
        <f t="shared" si="7"/>
        <v>0</v>
      </c>
      <c r="C182" s="230" t="s">
        <v>394</v>
      </c>
      <c r="D182" s="220">
        <v>441000</v>
      </c>
      <c r="E182" s="233"/>
    </row>
    <row r="183" spans="1:5" ht="15.75">
      <c r="A183" s="239"/>
      <c r="B183" s="236"/>
      <c r="C183" s="230"/>
      <c r="D183" s="231"/>
      <c r="E183" s="233">
        <v>0</v>
      </c>
    </row>
    <row r="184" spans="1:5" ht="15.75">
      <c r="A184" s="239"/>
      <c r="B184" s="243">
        <f>SUM(B162:B183)</f>
        <v>2622430.34</v>
      </c>
      <c r="C184" s="230"/>
      <c r="D184" s="223"/>
      <c r="E184" s="243">
        <f>SUM(E162:E183)</f>
        <v>1209041.3</v>
      </c>
    </row>
    <row r="185" spans="1:5" ht="16.5" thickBot="1">
      <c r="A185" s="240"/>
      <c r="B185" s="237">
        <f>SUM(B184,B161)</f>
        <v>5871935.99</v>
      </c>
      <c r="C185" s="232" t="s">
        <v>31</v>
      </c>
      <c r="D185" s="223"/>
      <c r="E185" s="237">
        <f>SUM(E184,E161)</f>
        <v>3651627.8</v>
      </c>
    </row>
    <row r="186" spans="2:5" ht="16.5" thickTop="1">
      <c r="B186" s="219"/>
      <c r="C186" s="320" t="s">
        <v>146</v>
      </c>
      <c r="D186" s="223"/>
      <c r="E186" s="219"/>
    </row>
    <row r="187" spans="2:5" ht="15.75">
      <c r="B187" s="247"/>
      <c r="C187" s="320" t="s">
        <v>149</v>
      </c>
      <c r="D187" s="223"/>
      <c r="E187" s="247"/>
    </row>
    <row r="188" spans="2:5" ht="15.75">
      <c r="B188" s="247">
        <f>SUM(B139-B185)</f>
        <v>4126592.0600000005</v>
      </c>
      <c r="C188" s="320" t="s">
        <v>147</v>
      </c>
      <c r="E188" s="247">
        <f>SUM(E139-E185)</f>
        <v>4131880.5199999996</v>
      </c>
    </row>
    <row r="189" spans="2:6" ht="16.5" thickBot="1">
      <c r="B189" s="248">
        <f>SUM(B104+B139-B185)</f>
        <v>27191541.130000003</v>
      </c>
      <c r="C189" s="320" t="s">
        <v>148</v>
      </c>
      <c r="E189" s="248">
        <f>SUM(E104+E139-E185)</f>
        <v>27191541.13</v>
      </c>
      <c r="F189" s="102">
        <f>+งบดุลบัญชี!Q5</f>
        <v>27191541.129999995</v>
      </c>
    </row>
    <row r="190" spans="2:5" ht="16.5" thickTop="1">
      <c r="B190" s="249"/>
      <c r="C190" s="320"/>
      <c r="E190" s="249"/>
    </row>
    <row r="192" spans="1:5" ht="15.75">
      <c r="A192" s="484" t="s">
        <v>370</v>
      </c>
      <c r="B192" s="484"/>
      <c r="C192" s="319" t="s">
        <v>33</v>
      </c>
      <c r="D192" s="484" t="s">
        <v>327</v>
      </c>
      <c r="E192" s="484"/>
    </row>
    <row r="193" spans="1:5" ht="15.75">
      <c r="A193" s="484" t="s">
        <v>436</v>
      </c>
      <c r="B193" s="484"/>
      <c r="C193" s="319" t="s">
        <v>267</v>
      </c>
      <c r="D193" s="484" t="s">
        <v>38</v>
      </c>
      <c r="E193" s="484"/>
    </row>
    <row r="194" spans="1:2" ht="15.75">
      <c r="A194" s="484" t="s">
        <v>437</v>
      </c>
      <c r="B194" s="484"/>
    </row>
    <row r="195" spans="1:5" ht="15.75">
      <c r="A195" s="234" t="s">
        <v>29</v>
      </c>
      <c r="D195" s="251" t="s">
        <v>140</v>
      </c>
      <c r="E195" s="241" t="s">
        <v>525</v>
      </c>
    </row>
    <row r="196" spans="1:5" ht="15.75">
      <c r="A196" s="485" t="s">
        <v>136</v>
      </c>
      <c r="B196" s="485"/>
      <c r="C196" s="485"/>
      <c r="D196" s="485"/>
      <c r="E196" s="485"/>
    </row>
    <row r="197" ht="15.75">
      <c r="E197" s="332" t="s">
        <v>362</v>
      </c>
    </row>
    <row r="198" spans="1:5" ht="15.75">
      <c r="A198" s="486" t="s">
        <v>137</v>
      </c>
      <c r="B198" s="486"/>
      <c r="C198" s="226"/>
      <c r="D198" s="226"/>
      <c r="E198" s="333" t="s">
        <v>139</v>
      </c>
    </row>
    <row r="199" spans="1:5" ht="15.75">
      <c r="A199" s="227" t="s">
        <v>16</v>
      </c>
      <c r="B199" s="227" t="s">
        <v>138</v>
      </c>
      <c r="C199" s="227" t="s">
        <v>0</v>
      </c>
      <c r="D199" s="227" t="s">
        <v>133</v>
      </c>
      <c r="E199" s="227" t="s">
        <v>138</v>
      </c>
    </row>
    <row r="200" spans="1:5" ht="15.75">
      <c r="A200" s="235" t="s">
        <v>49</v>
      </c>
      <c r="B200" s="235" t="s">
        <v>49</v>
      </c>
      <c r="C200" s="222"/>
      <c r="D200" s="222"/>
      <c r="E200" s="235" t="s">
        <v>49</v>
      </c>
    </row>
    <row r="201" spans="1:5" ht="15.75">
      <c r="A201" s="233"/>
      <c r="B201" s="242">
        <v>23064949.07</v>
      </c>
      <c r="C201" s="218" t="s">
        <v>141</v>
      </c>
      <c r="D201" s="219"/>
      <c r="E201" s="242">
        <f>+E189</f>
        <v>27191541.13</v>
      </c>
    </row>
    <row r="202" spans="1:5" ht="15.75">
      <c r="A202" s="233"/>
      <c r="B202" s="233"/>
      <c r="C202" s="218" t="s">
        <v>142</v>
      </c>
      <c r="D202" s="219"/>
      <c r="E202" s="233"/>
    </row>
    <row r="203" spans="1:5" ht="15.75">
      <c r="A203" s="236">
        <v>198000</v>
      </c>
      <c r="B203" s="236">
        <f>+E203+B106</f>
        <v>0</v>
      </c>
      <c r="C203" s="219" t="s">
        <v>19</v>
      </c>
      <c r="D203" s="220">
        <v>411000</v>
      </c>
      <c r="E203" s="233">
        <v>0</v>
      </c>
    </row>
    <row r="204" spans="1:5" ht="15.75">
      <c r="A204" s="236">
        <v>260200</v>
      </c>
      <c r="B204" s="236">
        <f aca="true" t="shared" si="8" ref="B204:B210">+E204+B107</f>
        <v>81603</v>
      </c>
      <c r="C204" s="219" t="s">
        <v>319</v>
      </c>
      <c r="D204" s="220">
        <v>412000</v>
      </c>
      <c r="E204" s="233">
        <v>44153</v>
      </c>
    </row>
    <row r="205" spans="1:5" ht="15.75">
      <c r="A205" s="236">
        <v>300500</v>
      </c>
      <c r="B205" s="236">
        <f t="shared" si="8"/>
        <v>107996.91</v>
      </c>
      <c r="C205" s="219" t="s">
        <v>21</v>
      </c>
      <c r="D205" s="220">
        <v>413000</v>
      </c>
      <c r="E205" s="233">
        <v>107996.91</v>
      </c>
    </row>
    <row r="206" spans="1:5" ht="15.75">
      <c r="A206" s="236">
        <v>200000</v>
      </c>
      <c r="B206" s="236">
        <f t="shared" si="8"/>
        <v>67585</v>
      </c>
      <c r="C206" s="219" t="s">
        <v>23</v>
      </c>
      <c r="D206" s="220">
        <v>414000</v>
      </c>
      <c r="E206" s="233">
        <v>41565</v>
      </c>
    </row>
    <row r="207" spans="1:5" ht="15.75">
      <c r="A207" s="236">
        <v>60000</v>
      </c>
      <c r="B207" s="236">
        <f t="shared" si="8"/>
        <v>240130</v>
      </c>
      <c r="C207" s="219" t="s">
        <v>20</v>
      </c>
      <c r="D207" s="220">
        <v>415000</v>
      </c>
      <c r="E207" s="233">
        <v>39580</v>
      </c>
    </row>
    <row r="208" spans="1:5" ht="15.75">
      <c r="A208" s="236">
        <v>500</v>
      </c>
      <c r="B208" s="236">
        <f t="shared" si="8"/>
        <v>0</v>
      </c>
      <c r="C208" s="219" t="s">
        <v>121</v>
      </c>
      <c r="D208" s="220">
        <v>416000</v>
      </c>
      <c r="E208" s="233">
        <v>0</v>
      </c>
    </row>
    <row r="209" spans="1:5" ht="15.75">
      <c r="A209" s="236">
        <v>14141000</v>
      </c>
      <c r="B209" s="236">
        <f t="shared" si="8"/>
        <v>3667637.28</v>
      </c>
      <c r="C209" s="219" t="s">
        <v>50</v>
      </c>
      <c r="D209" s="220">
        <v>421000</v>
      </c>
      <c r="E209" s="233">
        <v>595484.34</v>
      </c>
    </row>
    <row r="210" spans="1:5" ht="15.75">
      <c r="A210" s="236">
        <v>17860000</v>
      </c>
      <c r="B210" s="236">
        <f t="shared" si="8"/>
        <v>8581384</v>
      </c>
      <c r="C210" s="219" t="s">
        <v>22</v>
      </c>
      <c r="D210" s="220">
        <v>431002</v>
      </c>
      <c r="E210" s="233">
        <v>6841614</v>
      </c>
    </row>
    <row r="211" spans="1:6" ht="16.5" thickBot="1">
      <c r="A211" s="237">
        <f>SUM(A203:A210)</f>
        <v>33020200</v>
      </c>
      <c r="B211" s="237">
        <f>SUM(B203:B210)</f>
        <v>12746336.19</v>
      </c>
      <c r="C211" s="219"/>
      <c r="D211" s="220"/>
      <c r="E211" s="237">
        <f>SUM(E203:E210)</f>
        <v>7670393.25</v>
      </c>
      <c r="F211" s="102">
        <v>8751847.25</v>
      </c>
    </row>
    <row r="212" spans="1:6" ht="16.5" thickTop="1">
      <c r="A212" s="238"/>
      <c r="B212" s="236">
        <f>+E212+B115</f>
        <v>5407666</v>
      </c>
      <c r="C212" s="219" t="s">
        <v>492</v>
      </c>
      <c r="D212" s="220">
        <v>441000</v>
      </c>
      <c r="E212" s="233">
        <f>807200+296700</f>
        <v>1103900</v>
      </c>
      <c r="F212" s="6">
        <v>22446</v>
      </c>
    </row>
    <row r="213" spans="1:6" ht="15.75">
      <c r="A213" s="239"/>
      <c r="B213" s="236">
        <f aca="true" t="shared" si="9" ref="B213:B233">+E213+B116</f>
        <v>0</v>
      </c>
      <c r="C213" s="219" t="s">
        <v>120</v>
      </c>
      <c r="D213" s="220">
        <v>441000</v>
      </c>
      <c r="E213" s="233">
        <v>0</v>
      </c>
      <c r="F213" s="102">
        <f>SUM(F211:F212)</f>
        <v>8774293.25</v>
      </c>
    </row>
    <row r="214" spans="1:5" ht="15.75">
      <c r="A214" s="239"/>
      <c r="B214" s="236">
        <f t="shared" si="9"/>
        <v>10766.25</v>
      </c>
      <c r="C214" s="219" t="s">
        <v>26</v>
      </c>
      <c r="D214" s="220">
        <v>230102</v>
      </c>
      <c r="E214" s="233">
        <v>6686.14</v>
      </c>
    </row>
    <row r="215" spans="1:5" ht="15.75">
      <c r="A215" s="223"/>
      <c r="B215" s="236">
        <f t="shared" si="9"/>
        <v>0</v>
      </c>
      <c r="C215" s="219" t="s">
        <v>143</v>
      </c>
      <c r="D215" s="220">
        <v>230105</v>
      </c>
      <c r="E215" s="233">
        <v>0</v>
      </c>
    </row>
    <row r="216" spans="1:5" ht="15.75">
      <c r="A216" s="230"/>
      <c r="B216" s="236">
        <f t="shared" si="9"/>
        <v>839555</v>
      </c>
      <c r="C216" s="219" t="s">
        <v>27</v>
      </c>
      <c r="D216" s="220">
        <v>230108</v>
      </c>
      <c r="E216" s="233">
        <v>243965</v>
      </c>
    </row>
    <row r="217" spans="1:6" ht="15.75">
      <c r="A217" s="230"/>
      <c r="B217" s="236">
        <f t="shared" si="9"/>
        <v>0</v>
      </c>
      <c r="C217" s="219" t="s">
        <v>316</v>
      </c>
      <c r="D217" s="220">
        <v>230109</v>
      </c>
      <c r="E217" s="233">
        <v>0</v>
      </c>
      <c r="F217" s="102">
        <f>+B211-B258</f>
        <v>8086407.069999999</v>
      </c>
    </row>
    <row r="218" spans="1:5" ht="15.75">
      <c r="A218" s="230"/>
      <c r="B218" s="236">
        <f t="shared" si="9"/>
        <v>0</v>
      </c>
      <c r="C218" s="221" t="s">
        <v>86</v>
      </c>
      <c r="D218" s="220">
        <v>230110</v>
      </c>
      <c r="E218" s="233">
        <v>0</v>
      </c>
    </row>
    <row r="219" spans="1:5" ht="15.75">
      <c r="A219" s="230"/>
      <c r="B219" s="236">
        <f t="shared" si="9"/>
        <v>0</v>
      </c>
      <c r="C219" s="221" t="s">
        <v>346</v>
      </c>
      <c r="D219" s="220">
        <v>230111</v>
      </c>
      <c r="E219" s="233">
        <v>0</v>
      </c>
    </row>
    <row r="220" spans="1:5" ht="15.75">
      <c r="A220" s="230"/>
      <c r="B220" s="236">
        <f t="shared" si="9"/>
        <v>9959</v>
      </c>
      <c r="C220" s="221" t="s">
        <v>373</v>
      </c>
      <c r="D220" s="220">
        <v>230112</v>
      </c>
      <c r="E220" s="233">
        <v>7860</v>
      </c>
    </row>
    <row r="221" spans="1:5" ht="15.75">
      <c r="A221" s="230"/>
      <c r="B221" s="236">
        <f t="shared" si="9"/>
        <v>13650</v>
      </c>
      <c r="C221" s="221" t="s">
        <v>461</v>
      </c>
      <c r="D221" s="220">
        <v>230113</v>
      </c>
      <c r="E221" s="233">
        <v>1400</v>
      </c>
    </row>
    <row r="222" spans="1:5" ht="15.75">
      <c r="A222" s="230"/>
      <c r="B222" s="236">
        <f t="shared" si="9"/>
        <v>0</v>
      </c>
      <c r="C222" s="221" t="s">
        <v>25</v>
      </c>
      <c r="D222" s="220">
        <v>230114</v>
      </c>
      <c r="E222" s="233">
        <v>0</v>
      </c>
    </row>
    <row r="223" spans="1:5" ht="15.75">
      <c r="A223" s="230"/>
      <c r="B223" s="236">
        <f t="shared" si="9"/>
        <v>12100</v>
      </c>
      <c r="C223" s="221" t="s">
        <v>318</v>
      </c>
      <c r="D223" s="220">
        <v>230115</v>
      </c>
      <c r="E223" s="233">
        <v>10000</v>
      </c>
    </row>
    <row r="224" spans="1:5" ht="15.75">
      <c r="A224" s="230"/>
      <c r="B224" s="236">
        <f t="shared" si="9"/>
        <v>1500</v>
      </c>
      <c r="C224" s="221" t="s">
        <v>124</v>
      </c>
      <c r="D224" s="220">
        <v>230116</v>
      </c>
      <c r="E224" s="233">
        <v>0</v>
      </c>
    </row>
    <row r="225" spans="1:5" ht="15.75">
      <c r="A225" s="230"/>
      <c r="B225" s="236">
        <f t="shared" si="9"/>
        <v>0</v>
      </c>
      <c r="C225" s="219" t="s">
        <v>56</v>
      </c>
      <c r="D225" s="220">
        <v>110602</v>
      </c>
      <c r="E225" s="233">
        <v>0</v>
      </c>
    </row>
    <row r="226" spans="2:5" ht="15.75">
      <c r="B226" s="236">
        <f t="shared" si="9"/>
        <v>0</v>
      </c>
      <c r="C226" s="219" t="s">
        <v>59</v>
      </c>
      <c r="D226" s="220">
        <v>110604</v>
      </c>
      <c r="E226" s="233">
        <v>0</v>
      </c>
    </row>
    <row r="227" spans="2:5" ht="15.75">
      <c r="B227" s="236">
        <f t="shared" si="9"/>
        <v>0</v>
      </c>
      <c r="C227" s="219" t="s">
        <v>126</v>
      </c>
      <c r="D227" s="220">
        <v>110605</v>
      </c>
      <c r="E227" s="233">
        <v>0</v>
      </c>
    </row>
    <row r="228" spans="2:5" ht="15.75">
      <c r="B228" s="236">
        <f t="shared" si="9"/>
        <v>0</v>
      </c>
      <c r="C228" s="219" t="s">
        <v>135</v>
      </c>
      <c r="D228" s="220">
        <v>110606</v>
      </c>
      <c r="E228" s="233">
        <v>0</v>
      </c>
    </row>
    <row r="229" spans="2:5" ht="15.75">
      <c r="B229" s="236">
        <f t="shared" si="9"/>
        <v>0</v>
      </c>
      <c r="C229" s="221" t="s">
        <v>343</v>
      </c>
      <c r="D229" s="220">
        <v>110605</v>
      </c>
      <c r="E229" s="233">
        <v>0</v>
      </c>
    </row>
    <row r="230" spans="2:5" ht="15.75">
      <c r="B230" s="236">
        <f t="shared" si="9"/>
        <v>1200</v>
      </c>
      <c r="C230" s="221" t="s">
        <v>474</v>
      </c>
      <c r="D230" s="220">
        <v>110606</v>
      </c>
      <c r="E230" s="233">
        <v>0</v>
      </c>
    </row>
    <row r="231" spans="2:5" ht="15.75">
      <c r="B231" s="236">
        <f t="shared" si="9"/>
        <v>0</v>
      </c>
      <c r="C231" s="221" t="s">
        <v>392</v>
      </c>
      <c r="D231" s="220">
        <v>110609</v>
      </c>
      <c r="E231" s="233">
        <v>0</v>
      </c>
    </row>
    <row r="232" spans="2:5" ht="15.75">
      <c r="B232" s="236">
        <f t="shared" si="9"/>
        <v>0</v>
      </c>
      <c r="C232" s="221" t="s">
        <v>372</v>
      </c>
      <c r="D232" s="220">
        <v>522000</v>
      </c>
      <c r="E232" s="233">
        <v>0</v>
      </c>
    </row>
    <row r="233" spans="2:5" ht="15.75">
      <c r="B233" s="236">
        <f t="shared" si="9"/>
        <v>0</v>
      </c>
      <c r="C233" s="221" t="s">
        <v>289</v>
      </c>
      <c r="D233" s="220">
        <v>230200</v>
      </c>
      <c r="E233" s="233">
        <v>0</v>
      </c>
    </row>
    <row r="234" spans="2:5" ht="15.75">
      <c r="B234" s="233"/>
      <c r="C234" s="221"/>
      <c r="D234" s="222"/>
      <c r="E234" s="233"/>
    </row>
    <row r="235" spans="2:5" ht="15.75">
      <c r="B235" s="243">
        <f>SUM(B212:B234)</f>
        <v>6296396.25</v>
      </c>
      <c r="C235" s="221"/>
      <c r="D235" s="223"/>
      <c r="E235" s="243">
        <f>SUM(E212:E234)</f>
        <v>1373811.14</v>
      </c>
    </row>
    <row r="236" spans="2:5" ht="16.5" thickBot="1">
      <c r="B236" s="237">
        <f>SUM(B235+B211)</f>
        <v>19042732.439999998</v>
      </c>
      <c r="C236" s="224" t="s">
        <v>32</v>
      </c>
      <c r="D236" s="223"/>
      <c r="E236" s="237">
        <f>SUM(E211,E235)</f>
        <v>9044204.39</v>
      </c>
    </row>
    <row r="237" ht="16.5" thickTop="1"/>
    <row r="241" spans="1:5" ht="15.75">
      <c r="A241" s="486" t="s">
        <v>137</v>
      </c>
      <c r="B241" s="486"/>
      <c r="C241" s="226"/>
      <c r="D241" s="226"/>
      <c r="E241" s="333" t="s">
        <v>139</v>
      </c>
    </row>
    <row r="242" spans="1:5" ht="15.75">
      <c r="A242" s="227" t="s">
        <v>16</v>
      </c>
      <c r="B242" s="227" t="s">
        <v>138</v>
      </c>
      <c r="C242" s="227" t="s">
        <v>0</v>
      </c>
      <c r="D242" s="227" t="s">
        <v>133</v>
      </c>
      <c r="E242" s="227" t="s">
        <v>138</v>
      </c>
    </row>
    <row r="243" spans="1:5" ht="15.75">
      <c r="A243" s="235" t="s">
        <v>49</v>
      </c>
      <c r="B243" s="235" t="s">
        <v>49</v>
      </c>
      <c r="C243" s="222"/>
      <c r="D243" s="222"/>
      <c r="E243" s="235" t="s">
        <v>49</v>
      </c>
    </row>
    <row r="244" spans="1:5" ht="15.75">
      <c r="A244" s="233"/>
      <c r="B244" s="233"/>
      <c r="C244" s="218" t="s">
        <v>30</v>
      </c>
      <c r="D244" s="219"/>
      <c r="E244" s="244"/>
    </row>
    <row r="245" spans="1:5" ht="17.25">
      <c r="A245" s="233">
        <f>656778+310000+108000+120000+303204+131216</f>
        <v>1629198</v>
      </c>
      <c r="B245" s="236">
        <f>+E245+B148</f>
        <v>78491</v>
      </c>
      <c r="C245" s="219" t="s">
        <v>11</v>
      </c>
      <c r="D245" s="228">
        <v>510000</v>
      </c>
      <c r="E245" s="245">
        <v>45107</v>
      </c>
    </row>
    <row r="246" spans="1:5" ht="17.25">
      <c r="A246" s="233">
        <f>120000+1490400+198720+695520+120000</f>
        <v>2624640</v>
      </c>
      <c r="B246" s="236">
        <f aca="true" t="shared" si="10" ref="B246:B257">+E246+B149</f>
        <v>651174</v>
      </c>
      <c r="C246" s="219" t="s">
        <v>144</v>
      </c>
      <c r="D246" s="228">
        <v>521000</v>
      </c>
      <c r="E246" s="246">
        <v>218720</v>
      </c>
    </row>
    <row r="247" spans="1:5" ht="17.25">
      <c r="A247" s="233">
        <f>141600+5095000+158000</f>
        <v>5394600</v>
      </c>
      <c r="B247" s="236">
        <f t="shared" si="10"/>
        <v>1059002.23</v>
      </c>
      <c r="C247" s="219" t="s">
        <v>145</v>
      </c>
      <c r="D247" s="228">
        <v>522000</v>
      </c>
      <c r="E247" s="246">
        <v>369872.23</v>
      </c>
    </row>
    <row r="248" spans="1:5" ht="17.25">
      <c r="A248" s="233">
        <f>38000+326000</f>
        <v>364000</v>
      </c>
      <c r="B248" s="236">
        <f t="shared" si="10"/>
        <v>113280</v>
      </c>
      <c r="C248" s="219" t="s">
        <v>3</v>
      </c>
      <c r="D248" s="228">
        <v>220400</v>
      </c>
      <c r="E248" s="246">
        <v>30960</v>
      </c>
    </row>
    <row r="249" spans="1:5" ht="17.25">
      <c r="A249" s="233">
        <f>446000+2811000</f>
        <v>3257000</v>
      </c>
      <c r="B249" s="236">
        <f t="shared" si="10"/>
        <v>531850</v>
      </c>
      <c r="C249" s="219" t="s">
        <v>4</v>
      </c>
      <c r="D249" s="228">
        <v>220600</v>
      </c>
      <c r="E249" s="246">
        <v>178820</v>
      </c>
    </row>
    <row r="250" spans="1:5" ht="17.25">
      <c r="A250" s="233">
        <f>82000+24000+70500+366000+15000</f>
        <v>557500</v>
      </c>
      <c r="B250" s="236">
        <f t="shared" si="10"/>
        <v>64211</v>
      </c>
      <c r="C250" s="219" t="s">
        <v>5</v>
      </c>
      <c r="D250" s="228">
        <v>531000</v>
      </c>
      <c r="E250" s="246">
        <v>32637</v>
      </c>
    </row>
    <row r="251" spans="1:5" ht="17.25">
      <c r="A251" s="233">
        <f>1873000+40000+30000+30000+40000+20000+30000+20000+50000+30000+30000+90000+20000+50000+150000+1094250+10000+100000+550000+20000+200000+150000+165000+10000+30000+10000+10000+2000+120000</f>
        <v>4974250</v>
      </c>
      <c r="B251" s="236">
        <f t="shared" si="10"/>
        <v>628731.66</v>
      </c>
      <c r="C251" s="219" t="s">
        <v>6</v>
      </c>
      <c r="D251" s="228">
        <v>532000</v>
      </c>
      <c r="E251" s="246">
        <v>232467</v>
      </c>
    </row>
    <row r="252" spans="1:5" ht="17.25">
      <c r="A252" s="233">
        <f>150000+160000+90000+980000+100000+20000+50000+2061080+100000+210000</f>
        <v>3921080</v>
      </c>
      <c r="B252" s="236">
        <f t="shared" si="10"/>
        <v>291928</v>
      </c>
      <c r="C252" s="219" t="s">
        <v>7</v>
      </c>
      <c r="D252" s="228">
        <v>533000</v>
      </c>
      <c r="E252" s="246">
        <v>131053</v>
      </c>
    </row>
    <row r="253" spans="1:5" ht="17.25">
      <c r="A253" s="233">
        <f>110000+770000+40000+10000</f>
        <v>930000</v>
      </c>
      <c r="B253" s="236">
        <f t="shared" si="10"/>
        <v>278901.23</v>
      </c>
      <c r="C253" s="219" t="s">
        <v>8</v>
      </c>
      <c r="D253" s="228">
        <v>534000</v>
      </c>
      <c r="E253" s="246">
        <v>165587.24</v>
      </c>
    </row>
    <row r="254" spans="1:5" ht="17.25">
      <c r="A254" s="233">
        <f>100000+40500+13000+7000+21000+25000+8500+8000+132000+100000+59000+38000+38000+10000+25000</f>
        <v>625000</v>
      </c>
      <c r="B254" s="236">
        <f t="shared" si="10"/>
        <v>18360</v>
      </c>
      <c r="C254" s="219" t="s">
        <v>9</v>
      </c>
      <c r="D254" s="228">
        <v>541000</v>
      </c>
      <c r="E254" s="246">
        <v>5200</v>
      </c>
    </row>
    <row r="255" spans="1:5" ht="17.25">
      <c r="A255" s="233">
        <f>88700+239000+179300+132000+132000+71000+132000+147000+132000+141000+349000+177000+362000+370000+53600+145000+185000+110000+287000+300000+100000+40000+640000</f>
        <v>4512600</v>
      </c>
      <c r="B255" s="236">
        <f t="shared" si="10"/>
        <v>0</v>
      </c>
      <c r="C255" s="219" t="s">
        <v>10</v>
      </c>
      <c r="D255" s="228">
        <v>542000</v>
      </c>
      <c r="E255" s="246">
        <v>0</v>
      </c>
    </row>
    <row r="256" spans="1:5" ht="17.25">
      <c r="A256" s="233">
        <f>60000+268000+3877332</f>
        <v>4205332</v>
      </c>
      <c r="B256" s="236">
        <f t="shared" si="10"/>
        <v>944000</v>
      </c>
      <c r="C256" s="219" t="s">
        <v>13</v>
      </c>
      <c r="D256" s="220">
        <v>560000</v>
      </c>
      <c r="E256" s="246">
        <v>0</v>
      </c>
    </row>
    <row r="257" spans="1:5" ht="15.75">
      <c r="A257" s="233">
        <v>25000</v>
      </c>
      <c r="B257" s="236">
        <f t="shared" si="10"/>
        <v>0</v>
      </c>
      <c r="C257" s="219" t="s">
        <v>12</v>
      </c>
      <c r="D257" s="228">
        <v>550000</v>
      </c>
      <c r="E257" s="250">
        <v>0</v>
      </c>
    </row>
    <row r="258" spans="1:5" ht="16.5" thickBot="1">
      <c r="A258" s="237">
        <f>SUM(A245:A257)</f>
        <v>33020200</v>
      </c>
      <c r="B258" s="237">
        <f>SUM(B245:B257)</f>
        <v>4659929.12</v>
      </c>
      <c r="C258" s="224"/>
      <c r="D258" s="219"/>
      <c r="E258" s="237">
        <f>SUM(E245:E257)</f>
        <v>1410423.47</v>
      </c>
    </row>
    <row r="259" spans="1:5" ht="16.5" thickTop="1">
      <c r="A259" s="238"/>
      <c r="B259" s="236">
        <f>+E259+B162</f>
        <v>383590</v>
      </c>
      <c r="C259" s="219" t="s">
        <v>493</v>
      </c>
      <c r="D259" s="228">
        <v>441000</v>
      </c>
      <c r="E259" s="233">
        <f>130700+27000+2085+69160+41700</f>
        <v>270645</v>
      </c>
    </row>
    <row r="260" spans="1:5" ht="15.75">
      <c r="A260" s="239"/>
      <c r="B260" s="236">
        <f aca="true" t="shared" si="11" ref="B260:B279">+E260+B163</f>
        <v>0</v>
      </c>
      <c r="C260" s="219" t="s">
        <v>25</v>
      </c>
      <c r="D260" s="228">
        <v>412210</v>
      </c>
      <c r="E260" s="233"/>
    </row>
    <row r="261" spans="1:5" ht="15.75">
      <c r="A261" s="239"/>
      <c r="B261" s="236">
        <f t="shared" si="11"/>
        <v>0</v>
      </c>
      <c r="C261" s="219" t="s">
        <v>134</v>
      </c>
      <c r="D261" s="220">
        <v>110202</v>
      </c>
      <c r="E261" s="233">
        <v>0</v>
      </c>
    </row>
    <row r="262" spans="1:5" ht="15.75">
      <c r="A262" s="239"/>
      <c r="B262" s="236">
        <f t="shared" si="11"/>
        <v>29800</v>
      </c>
      <c r="C262" s="219" t="s">
        <v>126</v>
      </c>
      <c r="D262" s="228">
        <v>110605</v>
      </c>
      <c r="E262" s="233">
        <v>7200</v>
      </c>
    </row>
    <row r="263" spans="1:5" ht="15.75">
      <c r="A263" s="239"/>
      <c r="B263" s="236">
        <f t="shared" si="11"/>
        <v>735500</v>
      </c>
      <c r="C263" s="219" t="s">
        <v>335</v>
      </c>
      <c r="D263" s="228">
        <v>110609</v>
      </c>
      <c r="E263" s="233">
        <v>735500</v>
      </c>
    </row>
    <row r="264" spans="1:5" ht="15.75">
      <c r="A264" s="239"/>
      <c r="B264" s="236">
        <f t="shared" si="11"/>
        <v>1914945</v>
      </c>
      <c r="C264" s="219" t="s">
        <v>135</v>
      </c>
      <c r="D264" s="220">
        <v>110606</v>
      </c>
      <c r="E264" s="233"/>
    </row>
    <row r="265" spans="1:5" ht="15.75">
      <c r="A265" s="239"/>
      <c r="B265" s="236">
        <f t="shared" si="11"/>
        <v>30169.15</v>
      </c>
      <c r="C265" s="219" t="s">
        <v>26</v>
      </c>
      <c r="D265" s="220">
        <v>230102</v>
      </c>
      <c r="E265" s="233">
        <v>1082.81</v>
      </c>
    </row>
    <row r="266" spans="1:5" ht="15.75">
      <c r="A266" s="239"/>
      <c r="B266" s="236">
        <f>+E266+B169</f>
        <v>434282</v>
      </c>
      <c r="C266" s="219" t="s">
        <v>323</v>
      </c>
      <c r="D266" s="220">
        <v>230108</v>
      </c>
      <c r="E266" s="233">
        <v>245927</v>
      </c>
    </row>
    <row r="267" spans="1:5" ht="15.75">
      <c r="A267" s="239"/>
      <c r="B267" s="236">
        <f t="shared" si="11"/>
        <v>0</v>
      </c>
      <c r="C267" s="219" t="s">
        <v>86</v>
      </c>
      <c r="D267" s="229">
        <v>230110</v>
      </c>
      <c r="E267" s="233">
        <v>0</v>
      </c>
    </row>
    <row r="268" spans="1:5" ht="15.75">
      <c r="A268" s="239"/>
      <c r="B268" s="236">
        <f t="shared" si="11"/>
        <v>0</v>
      </c>
      <c r="C268" s="219" t="s">
        <v>331</v>
      </c>
      <c r="D268" s="229">
        <v>230109</v>
      </c>
      <c r="E268" s="233">
        <v>0</v>
      </c>
    </row>
    <row r="269" spans="1:5" ht="15.75">
      <c r="A269" s="239"/>
      <c r="B269" s="236">
        <f t="shared" si="11"/>
        <v>0</v>
      </c>
      <c r="C269" s="219" t="s">
        <v>346</v>
      </c>
      <c r="D269" s="229">
        <v>230111</v>
      </c>
      <c r="E269" s="233">
        <v>0</v>
      </c>
    </row>
    <row r="270" spans="1:5" ht="15.75">
      <c r="A270" s="239"/>
      <c r="B270" s="236">
        <f t="shared" si="11"/>
        <v>2875</v>
      </c>
      <c r="C270" s="219" t="s">
        <v>373</v>
      </c>
      <c r="D270" s="229">
        <v>230112</v>
      </c>
      <c r="E270" s="233">
        <v>776</v>
      </c>
    </row>
    <row r="271" spans="1:5" ht="15.75">
      <c r="A271" s="239"/>
      <c r="B271" s="236">
        <f t="shared" si="11"/>
        <v>0</v>
      </c>
      <c r="C271" s="221" t="s">
        <v>461</v>
      </c>
      <c r="D271" s="220">
        <v>230113</v>
      </c>
      <c r="E271" s="233">
        <v>0</v>
      </c>
    </row>
    <row r="272" spans="1:5" ht="15.75">
      <c r="A272" s="239"/>
      <c r="B272" s="236">
        <f>+E272+B175</f>
        <v>4592</v>
      </c>
      <c r="C272" s="221" t="s">
        <v>25</v>
      </c>
      <c r="D272" s="220">
        <v>230114</v>
      </c>
      <c r="E272" s="233">
        <v>4592</v>
      </c>
    </row>
    <row r="273" spans="1:5" ht="15.75">
      <c r="A273" s="239"/>
      <c r="B273" s="236">
        <f>+E273+B176</f>
        <v>2100</v>
      </c>
      <c r="C273" s="221" t="s">
        <v>318</v>
      </c>
      <c r="D273" s="220">
        <v>230115</v>
      </c>
      <c r="E273" s="233">
        <v>2100</v>
      </c>
    </row>
    <row r="274" spans="1:5" ht="15.75">
      <c r="A274" s="239"/>
      <c r="B274" s="236">
        <f>+E274+B177</f>
        <v>1500</v>
      </c>
      <c r="C274" s="221" t="s">
        <v>124</v>
      </c>
      <c r="D274" s="220">
        <v>230116</v>
      </c>
      <c r="E274" s="233">
        <v>1500</v>
      </c>
    </row>
    <row r="275" spans="1:5" ht="15.75">
      <c r="A275" s="239"/>
      <c r="B275" s="236">
        <f t="shared" si="11"/>
        <v>0</v>
      </c>
      <c r="C275" s="219" t="s">
        <v>58</v>
      </c>
      <c r="D275" s="229">
        <v>210500</v>
      </c>
      <c r="E275" s="233">
        <v>0</v>
      </c>
    </row>
    <row r="276" spans="1:5" ht="15.75">
      <c r="A276" s="239"/>
      <c r="B276" s="236">
        <f>+E276+B179</f>
        <v>728244</v>
      </c>
      <c r="C276" s="219" t="s">
        <v>14</v>
      </c>
      <c r="D276" s="229">
        <v>210400</v>
      </c>
      <c r="E276" s="233">
        <v>385844</v>
      </c>
    </row>
    <row r="277" spans="1:5" ht="15.75">
      <c r="A277" s="239"/>
      <c r="B277" s="236">
        <f>+E277+B180</f>
        <v>338847.83</v>
      </c>
      <c r="C277" s="219" t="s">
        <v>15</v>
      </c>
      <c r="D277" s="220">
        <v>300000</v>
      </c>
      <c r="E277" s="233">
        <v>328847.83</v>
      </c>
    </row>
    <row r="278" spans="1:5" ht="15.75" hidden="1">
      <c r="A278" s="239"/>
      <c r="B278" s="236">
        <f t="shared" si="11"/>
        <v>0</v>
      </c>
      <c r="C278" s="230" t="s">
        <v>348</v>
      </c>
      <c r="D278" s="220">
        <v>441000</v>
      </c>
      <c r="E278" s="233">
        <v>0</v>
      </c>
    </row>
    <row r="279" spans="1:5" ht="15.75" hidden="1">
      <c r="A279" s="239"/>
      <c r="B279" s="236">
        <f t="shared" si="11"/>
        <v>0</v>
      </c>
      <c r="C279" s="230" t="s">
        <v>394</v>
      </c>
      <c r="D279" s="220">
        <v>441000</v>
      </c>
      <c r="E279" s="233">
        <v>0</v>
      </c>
    </row>
    <row r="280" spans="1:5" ht="15.75">
      <c r="A280" s="239"/>
      <c r="B280" s="236"/>
      <c r="C280" s="230"/>
      <c r="D280" s="231"/>
      <c r="E280" s="233">
        <v>0</v>
      </c>
    </row>
    <row r="281" spans="1:5" ht="15.75">
      <c r="A281" s="239"/>
      <c r="B281" s="243">
        <f>SUM(B259:B280)</f>
        <v>4606444.98</v>
      </c>
      <c r="C281" s="230"/>
      <c r="D281" s="223"/>
      <c r="E281" s="243">
        <f>SUM(E259:E280)</f>
        <v>1984014.6400000001</v>
      </c>
    </row>
    <row r="282" spans="1:5" ht="16.5" thickBot="1">
      <c r="A282" s="240"/>
      <c r="B282" s="237">
        <f>SUM(B281,B258)</f>
        <v>9266374.100000001</v>
      </c>
      <c r="C282" s="232" t="s">
        <v>31</v>
      </c>
      <c r="D282" s="223"/>
      <c r="E282" s="237">
        <f>SUM(E281,E258)</f>
        <v>3394438.1100000003</v>
      </c>
    </row>
    <row r="283" spans="2:5" ht="16.5" thickTop="1">
      <c r="B283" s="219"/>
      <c r="C283" s="332" t="s">
        <v>146</v>
      </c>
      <c r="D283" s="223"/>
      <c r="E283" s="219"/>
    </row>
    <row r="284" spans="2:5" ht="15.75">
      <c r="B284" s="247"/>
      <c r="C284" s="332" t="s">
        <v>149</v>
      </c>
      <c r="D284" s="223"/>
      <c r="E284" s="247"/>
    </row>
    <row r="285" spans="2:5" ht="15.75">
      <c r="B285" s="247">
        <f>SUM(B236-B282)</f>
        <v>9776358.339999996</v>
      </c>
      <c r="C285" s="332" t="s">
        <v>147</v>
      </c>
      <c r="E285" s="247">
        <f>SUM(E236-E282)</f>
        <v>5649766.28</v>
      </c>
    </row>
    <row r="286" spans="2:6" ht="16.5" thickBot="1">
      <c r="B286" s="248">
        <f>SUM(B201+B236-B282)</f>
        <v>32841307.409999996</v>
      </c>
      <c r="C286" s="332" t="s">
        <v>148</v>
      </c>
      <c r="E286" s="248">
        <f>SUM(E201+E236-E282)</f>
        <v>32841307.409999996</v>
      </c>
      <c r="F286" s="102">
        <f>+งบดุลบัญชี!W5</f>
        <v>32841307.409999996</v>
      </c>
    </row>
    <row r="287" spans="2:5" ht="16.5" thickTop="1">
      <c r="B287" s="249"/>
      <c r="C287" s="332"/>
      <c r="E287" s="249"/>
    </row>
    <row r="289" spans="1:5" ht="15.75">
      <c r="A289" s="484" t="s">
        <v>370</v>
      </c>
      <c r="B289" s="484"/>
      <c r="C289" s="331" t="s">
        <v>33</v>
      </c>
      <c r="D289" s="484" t="s">
        <v>327</v>
      </c>
      <c r="E289" s="484"/>
    </row>
    <row r="290" spans="1:5" ht="15.75">
      <c r="A290" s="484" t="s">
        <v>436</v>
      </c>
      <c r="B290" s="484"/>
      <c r="C290" s="331" t="s">
        <v>267</v>
      </c>
      <c r="D290" s="484" t="s">
        <v>38</v>
      </c>
      <c r="E290" s="484"/>
    </row>
    <row r="291" spans="1:2" ht="15.75">
      <c r="A291" s="484" t="s">
        <v>437</v>
      </c>
      <c r="B291" s="484"/>
    </row>
    <row r="292" spans="1:5" ht="15.75">
      <c r="A292" s="234" t="s">
        <v>29</v>
      </c>
      <c r="D292" s="251" t="s">
        <v>140</v>
      </c>
      <c r="E292" s="241" t="s">
        <v>530</v>
      </c>
    </row>
    <row r="293" spans="1:5" ht="15.75">
      <c r="A293" s="485" t="s">
        <v>136</v>
      </c>
      <c r="B293" s="485"/>
      <c r="C293" s="485"/>
      <c r="D293" s="485"/>
      <c r="E293" s="485"/>
    </row>
    <row r="294" ht="15.75">
      <c r="E294" s="346" t="s">
        <v>531</v>
      </c>
    </row>
    <row r="295" spans="1:5" ht="15.75">
      <c r="A295" s="486" t="s">
        <v>137</v>
      </c>
      <c r="B295" s="486"/>
      <c r="C295" s="226"/>
      <c r="D295" s="226"/>
      <c r="E295" s="347" t="s">
        <v>139</v>
      </c>
    </row>
    <row r="296" spans="1:5" ht="15.75">
      <c r="A296" s="227" t="s">
        <v>16</v>
      </c>
      <c r="B296" s="227" t="s">
        <v>138</v>
      </c>
      <c r="C296" s="227" t="s">
        <v>0</v>
      </c>
      <c r="D296" s="227" t="s">
        <v>133</v>
      </c>
      <c r="E296" s="227" t="s">
        <v>138</v>
      </c>
    </row>
    <row r="297" spans="1:5" ht="15.75">
      <c r="A297" s="235" t="s">
        <v>49</v>
      </c>
      <c r="B297" s="235" t="s">
        <v>49</v>
      </c>
      <c r="C297" s="222"/>
      <c r="D297" s="222"/>
      <c r="E297" s="235" t="s">
        <v>49</v>
      </c>
    </row>
    <row r="298" spans="1:5" ht="15.75">
      <c r="A298" s="233"/>
      <c r="B298" s="242">
        <v>23064949.07</v>
      </c>
      <c r="C298" s="218" t="s">
        <v>141</v>
      </c>
      <c r="D298" s="219"/>
      <c r="E298" s="242">
        <f>+E286</f>
        <v>32841307.409999996</v>
      </c>
    </row>
    <row r="299" spans="1:5" ht="15.75">
      <c r="A299" s="233"/>
      <c r="B299" s="233"/>
      <c r="C299" s="218" t="s">
        <v>142</v>
      </c>
      <c r="D299" s="219"/>
      <c r="E299" s="233"/>
    </row>
    <row r="300" spans="1:5" ht="15.75">
      <c r="A300" s="236">
        <v>198000</v>
      </c>
      <c r="B300" s="236">
        <f>+E300+B203</f>
        <v>14499.36</v>
      </c>
      <c r="C300" s="219" t="s">
        <v>19</v>
      </c>
      <c r="D300" s="220">
        <v>411000</v>
      </c>
      <c r="E300" s="233">
        <v>14499.36</v>
      </c>
    </row>
    <row r="301" spans="1:5" ht="15.75">
      <c r="A301" s="236">
        <v>260200</v>
      </c>
      <c r="B301" s="236">
        <f aca="true" t="shared" si="12" ref="B301:B307">+E301+B204</f>
        <v>125320</v>
      </c>
      <c r="C301" s="219" t="s">
        <v>319</v>
      </c>
      <c r="D301" s="220">
        <v>412000</v>
      </c>
      <c r="E301" s="233">
        <v>43717</v>
      </c>
    </row>
    <row r="302" spans="1:5" ht="15.75">
      <c r="A302" s="236">
        <v>300500</v>
      </c>
      <c r="B302" s="236">
        <f t="shared" si="12"/>
        <v>123871.91</v>
      </c>
      <c r="C302" s="219" t="s">
        <v>21</v>
      </c>
      <c r="D302" s="220">
        <v>413000</v>
      </c>
      <c r="E302" s="233">
        <v>15875</v>
      </c>
    </row>
    <row r="303" spans="1:5" ht="15.75">
      <c r="A303" s="236">
        <v>200000</v>
      </c>
      <c r="B303" s="236">
        <f t="shared" si="12"/>
        <v>67585</v>
      </c>
      <c r="C303" s="219" t="s">
        <v>23</v>
      </c>
      <c r="D303" s="220">
        <v>414000</v>
      </c>
      <c r="E303" s="233">
        <v>0</v>
      </c>
    </row>
    <row r="304" spans="1:5" ht="15.75">
      <c r="A304" s="236">
        <v>60000</v>
      </c>
      <c r="B304" s="236">
        <f t="shared" si="12"/>
        <v>249610</v>
      </c>
      <c r="C304" s="219" t="s">
        <v>20</v>
      </c>
      <c r="D304" s="220">
        <v>415000</v>
      </c>
      <c r="E304" s="233">
        <v>9480</v>
      </c>
    </row>
    <row r="305" spans="1:5" ht="15.75">
      <c r="A305" s="236">
        <v>500</v>
      </c>
      <c r="B305" s="236">
        <f t="shared" si="12"/>
        <v>0</v>
      </c>
      <c r="C305" s="219" t="s">
        <v>121</v>
      </c>
      <c r="D305" s="220">
        <v>416000</v>
      </c>
      <c r="E305" s="233">
        <v>0</v>
      </c>
    </row>
    <row r="306" spans="1:5" ht="15.75">
      <c r="A306" s="236">
        <v>14141000</v>
      </c>
      <c r="B306" s="236">
        <f t="shared" si="12"/>
        <v>5162804.68</v>
      </c>
      <c r="C306" s="219" t="s">
        <v>50</v>
      </c>
      <c r="D306" s="220">
        <v>421000</v>
      </c>
      <c r="E306" s="233">
        <v>1495167.4</v>
      </c>
    </row>
    <row r="307" spans="1:5" ht="15.75">
      <c r="A307" s="236">
        <v>17860000</v>
      </c>
      <c r="B307" s="236">
        <f t="shared" si="12"/>
        <v>10443904</v>
      </c>
      <c r="C307" s="219" t="s">
        <v>22</v>
      </c>
      <c r="D307" s="220">
        <v>431002</v>
      </c>
      <c r="E307" s="233">
        <v>1862520</v>
      </c>
    </row>
    <row r="308" spans="1:5" ht="16.5" thickBot="1">
      <c r="A308" s="237">
        <f>SUM(A300:A307)</f>
        <v>33020200</v>
      </c>
      <c r="B308" s="237">
        <f>SUM(B300:B307)</f>
        <v>16187594.95</v>
      </c>
      <c r="C308" s="219"/>
      <c r="D308" s="220"/>
      <c r="E308" s="237">
        <f>SUM(E300:E307)</f>
        <v>3441258.76</v>
      </c>
    </row>
    <row r="309" spans="1:5" ht="16.5" thickTop="1">
      <c r="A309" s="238"/>
      <c r="B309" s="236">
        <f>+E309+B212</f>
        <v>6214866</v>
      </c>
      <c r="C309" s="219" t="s">
        <v>492</v>
      </c>
      <c r="D309" s="220">
        <v>441000</v>
      </c>
      <c r="E309" s="233">
        <v>807200</v>
      </c>
    </row>
    <row r="310" spans="1:5" ht="15.75">
      <c r="A310" s="239"/>
      <c r="B310" s="236">
        <f aca="true" t="shared" si="13" ref="B310:B330">+E310+B213</f>
        <v>0</v>
      </c>
      <c r="C310" s="219" t="s">
        <v>120</v>
      </c>
      <c r="D310" s="220">
        <v>441000</v>
      </c>
      <c r="E310" s="233">
        <v>0</v>
      </c>
    </row>
    <row r="311" spans="1:5" ht="15.75">
      <c r="A311" s="239"/>
      <c r="B311" s="236">
        <f t="shared" si="13"/>
        <v>21655.35</v>
      </c>
      <c r="C311" s="219" t="s">
        <v>26</v>
      </c>
      <c r="D311" s="220">
        <v>230102</v>
      </c>
      <c r="E311" s="233">
        <v>10889.1</v>
      </c>
    </row>
    <row r="312" spans="1:5" ht="15.75">
      <c r="A312" s="223"/>
      <c r="B312" s="236">
        <f t="shared" si="13"/>
        <v>18.38</v>
      </c>
      <c r="C312" s="219" t="s">
        <v>143</v>
      </c>
      <c r="D312" s="220">
        <v>230105</v>
      </c>
      <c r="E312" s="233">
        <v>18.38</v>
      </c>
    </row>
    <row r="313" spans="1:5" ht="15.75">
      <c r="A313" s="230"/>
      <c r="B313" s="236">
        <f t="shared" si="13"/>
        <v>1097553</v>
      </c>
      <c r="C313" s="219" t="s">
        <v>27</v>
      </c>
      <c r="D313" s="220">
        <v>230108</v>
      </c>
      <c r="E313" s="233">
        <v>257998</v>
      </c>
    </row>
    <row r="314" spans="1:5" ht="15.75">
      <c r="A314" s="230"/>
      <c r="B314" s="236">
        <f t="shared" si="13"/>
        <v>0</v>
      </c>
      <c r="C314" s="219" t="s">
        <v>316</v>
      </c>
      <c r="D314" s="220">
        <v>230109</v>
      </c>
      <c r="E314" s="233">
        <v>0</v>
      </c>
    </row>
    <row r="315" spans="1:5" ht="15.75">
      <c r="A315" s="230"/>
      <c r="B315" s="236">
        <f t="shared" si="13"/>
        <v>4915</v>
      </c>
      <c r="C315" s="221" t="s">
        <v>86</v>
      </c>
      <c r="D315" s="220">
        <v>230110</v>
      </c>
      <c r="E315" s="233">
        <v>4915</v>
      </c>
    </row>
    <row r="316" spans="1:5" ht="15.75">
      <c r="A316" s="230"/>
      <c r="B316" s="236">
        <f t="shared" si="13"/>
        <v>0</v>
      </c>
      <c r="C316" s="221" t="s">
        <v>346</v>
      </c>
      <c r="D316" s="220">
        <v>230111</v>
      </c>
      <c r="E316" s="233">
        <v>0</v>
      </c>
    </row>
    <row r="317" spans="1:5" ht="15.75">
      <c r="A317" s="230"/>
      <c r="B317" s="236">
        <f t="shared" si="13"/>
        <v>10586</v>
      </c>
      <c r="C317" s="221" t="s">
        <v>373</v>
      </c>
      <c r="D317" s="220">
        <v>230112</v>
      </c>
      <c r="E317" s="233">
        <v>627</v>
      </c>
    </row>
    <row r="318" spans="1:5" ht="15.75">
      <c r="A318" s="230"/>
      <c r="B318" s="236">
        <f t="shared" si="13"/>
        <v>13650</v>
      </c>
      <c r="C318" s="221" t="s">
        <v>461</v>
      </c>
      <c r="D318" s="220">
        <v>230113</v>
      </c>
      <c r="E318" s="233">
        <v>0</v>
      </c>
    </row>
    <row r="319" spans="1:5" ht="15.75">
      <c r="A319" s="230"/>
      <c r="B319" s="236">
        <f t="shared" si="13"/>
        <v>0</v>
      </c>
      <c r="C319" s="221" t="s">
        <v>25</v>
      </c>
      <c r="D319" s="220">
        <v>230114</v>
      </c>
      <c r="E319" s="233">
        <v>0</v>
      </c>
    </row>
    <row r="320" spans="1:5" ht="15.75">
      <c r="A320" s="230"/>
      <c r="B320" s="236">
        <f t="shared" si="13"/>
        <v>20700</v>
      </c>
      <c r="C320" s="221" t="s">
        <v>318</v>
      </c>
      <c r="D320" s="220">
        <v>230115</v>
      </c>
      <c r="E320" s="233">
        <v>8600</v>
      </c>
    </row>
    <row r="321" spans="1:5" ht="15.75">
      <c r="A321" s="230"/>
      <c r="B321" s="236">
        <f t="shared" si="13"/>
        <v>1500</v>
      </c>
      <c r="C321" s="221" t="s">
        <v>124</v>
      </c>
      <c r="D321" s="220">
        <v>230116</v>
      </c>
      <c r="E321" s="233">
        <v>0</v>
      </c>
    </row>
    <row r="322" spans="1:5" ht="15.75">
      <c r="A322" s="230"/>
      <c r="B322" s="236">
        <f t="shared" si="13"/>
        <v>0</v>
      </c>
      <c r="C322" s="219" t="s">
        <v>56</v>
      </c>
      <c r="D322" s="220">
        <v>110602</v>
      </c>
      <c r="E322" s="233">
        <v>0</v>
      </c>
    </row>
    <row r="323" spans="2:5" ht="15.75">
      <c r="B323" s="236">
        <f t="shared" si="13"/>
        <v>0</v>
      </c>
      <c r="C323" s="219" t="s">
        <v>59</v>
      </c>
      <c r="D323" s="220">
        <v>110604</v>
      </c>
      <c r="E323" s="233">
        <v>0</v>
      </c>
    </row>
    <row r="324" spans="2:5" ht="15.75">
      <c r="B324" s="236">
        <f t="shared" si="13"/>
        <v>0</v>
      </c>
      <c r="C324" s="219" t="s">
        <v>126</v>
      </c>
      <c r="D324" s="220">
        <v>110605</v>
      </c>
      <c r="E324" s="233">
        <v>0</v>
      </c>
    </row>
    <row r="325" spans="2:5" ht="15.75">
      <c r="B325" s="236">
        <f t="shared" si="13"/>
        <v>0</v>
      </c>
      <c r="C325" s="219" t="s">
        <v>135</v>
      </c>
      <c r="D325" s="220">
        <v>110606</v>
      </c>
      <c r="E325" s="233">
        <v>0</v>
      </c>
    </row>
    <row r="326" spans="2:5" ht="15.75">
      <c r="B326" s="236">
        <f t="shared" si="13"/>
        <v>0</v>
      </c>
      <c r="C326" s="221" t="s">
        <v>343</v>
      </c>
      <c r="D326" s="220">
        <v>110605</v>
      </c>
      <c r="E326" s="233">
        <v>0</v>
      </c>
    </row>
    <row r="327" spans="2:5" ht="15.75">
      <c r="B327" s="236">
        <f t="shared" si="13"/>
        <v>1200</v>
      </c>
      <c r="C327" s="221" t="s">
        <v>474</v>
      </c>
      <c r="D327" s="220">
        <v>110606</v>
      </c>
      <c r="E327" s="233">
        <v>0</v>
      </c>
    </row>
    <row r="328" spans="2:5" ht="15.75">
      <c r="B328" s="236">
        <f t="shared" si="13"/>
        <v>0</v>
      </c>
      <c r="C328" s="221" t="s">
        <v>392</v>
      </c>
      <c r="D328" s="220">
        <v>110609</v>
      </c>
      <c r="E328" s="233">
        <v>0</v>
      </c>
    </row>
    <row r="329" spans="2:5" ht="15.75">
      <c r="B329" s="236">
        <f t="shared" si="13"/>
        <v>0</v>
      </c>
      <c r="C329" s="221" t="s">
        <v>372</v>
      </c>
      <c r="D329" s="220">
        <v>522000</v>
      </c>
      <c r="E329" s="233">
        <v>0</v>
      </c>
    </row>
    <row r="330" spans="2:5" ht="15.75">
      <c r="B330" s="236">
        <f t="shared" si="13"/>
        <v>0</v>
      </c>
      <c r="C330" s="221" t="s">
        <v>289</v>
      </c>
      <c r="D330" s="220">
        <v>230200</v>
      </c>
      <c r="E330" s="233">
        <v>0</v>
      </c>
    </row>
    <row r="331" spans="2:5" ht="15.75">
      <c r="B331" s="233"/>
      <c r="C331" s="221"/>
      <c r="D331" s="222"/>
      <c r="E331" s="233"/>
    </row>
    <row r="332" spans="2:5" ht="15.75">
      <c r="B332" s="243">
        <f>SUM(B309:B331)</f>
        <v>7386643.7299999995</v>
      </c>
      <c r="C332" s="221"/>
      <c r="D332" s="223"/>
      <c r="E332" s="243">
        <f>SUM(E309:E331)</f>
        <v>1090247.48</v>
      </c>
    </row>
    <row r="333" spans="2:5" ht="16.5" thickBot="1">
      <c r="B333" s="237">
        <f>SUM(B332+B308)</f>
        <v>23574238.68</v>
      </c>
      <c r="C333" s="224" t="s">
        <v>32</v>
      </c>
      <c r="D333" s="223"/>
      <c r="E333" s="237">
        <f>SUM(E308,E332)</f>
        <v>4531506.24</v>
      </c>
    </row>
    <row r="334" ht="16.5" thickTop="1"/>
    <row r="338" spans="1:5" ht="15.75">
      <c r="A338" s="486" t="s">
        <v>137</v>
      </c>
      <c r="B338" s="486"/>
      <c r="C338" s="226"/>
      <c r="D338" s="226"/>
      <c r="E338" s="347" t="s">
        <v>139</v>
      </c>
    </row>
    <row r="339" spans="1:5" ht="15.75">
      <c r="A339" s="227" t="s">
        <v>16</v>
      </c>
      <c r="B339" s="227" t="s">
        <v>138</v>
      </c>
      <c r="C339" s="227" t="s">
        <v>0</v>
      </c>
      <c r="D339" s="227" t="s">
        <v>133</v>
      </c>
      <c r="E339" s="227" t="s">
        <v>138</v>
      </c>
    </row>
    <row r="340" spans="1:5" ht="15.75">
      <c r="A340" s="235" t="s">
        <v>49</v>
      </c>
      <c r="B340" s="235" t="s">
        <v>49</v>
      </c>
      <c r="C340" s="222"/>
      <c r="D340" s="222"/>
      <c r="E340" s="235" t="s">
        <v>49</v>
      </c>
    </row>
    <row r="341" spans="1:5" ht="15.75">
      <c r="A341" s="233"/>
      <c r="B341" s="233"/>
      <c r="C341" s="218" t="s">
        <v>30</v>
      </c>
      <c r="D341" s="219"/>
      <c r="E341" s="244"/>
    </row>
    <row r="342" spans="1:5" ht="17.25">
      <c r="A342" s="233">
        <f>656778+310000+108000+120000+303204+131216</f>
        <v>1629198</v>
      </c>
      <c r="B342" s="236">
        <f>+E342+B245</f>
        <v>198388</v>
      </c>
      <c r="C342" s="219" t="s">
        <v>11</v>
      </c>
      <c r="D342" s="228">
        <v>510000</v>
      </c>
      <c r="E342" s="245">
        <v>119897</v>
      </c>
    </row>
    <row r="343" spans="1:5" ht="17.25">
      <c r="A343" s="233">
        <f>120000+1490400+198720+695520+120000</f>
        <v>2624640</v>
      </c>
      <c r="B343" s="236">
        <f aca="true" t="shared" si="14" ref="B343:B354">+E343+B246</f>
        <v>869894</v>
      </c>
      <c r="C343" s="219" t="s">
        <v>144</v>
      </c>
      <c r="D343" s="228">
        <v>521000</v>
      </c>
      <c r="E343" s="246">
        <v>218720</v>
      </c>
    </row>
    <row r="344" spans="1:5" ht="17.25">
      <c r="A344" s="233">
        <f>141600+5095000+158000</f>
        <v>5394600</v>
      </c>
      <c r="B344" s="236">
        <f t="shared" si="14"/>
        <v>1426101.23</v>
      </c>
      <c r="C344" s="219" t="s">
        <v>145</v>
      </c>
      <c r="D344" s="228">
        <v>522000</v>
      </c>
      <c r="E344" s="246">
        <v>367099</v>
      </c>
    </row>
    <row r="345" spans="1:5" ht="17.25">
      <c r="A345" s="233">
        <f>38000+326000</f>
        <v>364000</v>
      </c>
      <c r="B345" s="236">
        <f t="shared" si="14"/>
        <v>144240</v>
      </c>
      <c r="C345" s="219" t="s">
        <v>3</v>
      </c>
      <c r="D345" s="228">
        <v>220400</v>
      </c>
      <c r="E345" s="246">
        <v>30960</v>
      </c>
    </row>
    <row r="346" spans="1:5" ht="17.25">
      <c r="A346" s="233">
        <f>446000+2811000</f>
        <v>3257000</v>
      </c>
      <c r="B346" s="236">
        <f t="shared" si="14"/>
        <v>736080</v>
      </c>
      <c r="C346" s="219" t="s">
        <v>4</v>
      </c>
      <c r="D346" s="228">
        <v>220600</v>
      </c>
      <c r="E346" s="246">
        <v>204230</v>
      </c>
    </row>
    <row r="347" spans="1:5" ht="17.25">
      <c r="A347" s="233">
        <f>82000+24000+70500+366000+15000</f>
        <v>557500</v>
      </c>
      <c r="B347" s="236">
        <f t="shared" si="14"/>
        <v>94911</v>
      </c>
      <c r="C347" s="219" t="s">
        <v>5</v>
      </c>
      <c r="D347" s="228">
        <v>531000</v>
      </c>
      <c r="E347" s="246">
        <v>30700</v>
      </c>
    </row>
    <row r="348" spans="1:5" ht="17.25">
      <c r="A348" s="233">
        <f>1873000+40000+30000+30000+40000+20000+30000+20000+50000+30000+30000+90000+20000+50000+150000+1094250+10000+100000+550000+20000+200000+150000+165000+10000+30000+10000+10000+2000+120000</f>
        <v>4974250</v>
      </c>
      <c r="B348" s="236">
        <f t="shared" si="14"/>
        <v>1236416.21</v>
      </c>
      <c r="C348" s="219" t="s">
        <v>6</v>
      </c>
      <c r="D348" s="228">
        <v>532000</v>
      </c>
      <c r="E348" s="246">
        <f>623284.55-15600</f>
        <v>607684.55</v>
      </c>
    </row>
    <row r="349" spans="1:5" ht="17.25">
      <c r="A349" s="233">
        <f>150000+160000+90000+980000+100000+20000+50000+2061080+100000+210000</f>
        <v>3921080</v>
      </c>
      <c r="B349" s="236">
        <f t="shared" si="14"/>
        <v>450422</v>
      </c>
      <c r="C349" s="219" t="s">
        <v>7</v>
      </c>
      <c r="D349" s="228">
        <v>533000</v>
      </c>
      <c r="E349" s="246">
        <v>158494</v>
      </c>
    </row>
    <row r="350" spans="1:5" ht="17.25">
      <c r="A350" s="233">
        <f>110000+770000+40000+10000</f>
        <v>930000</v>
      </c>
      <c r="B350" s="236">
        <f t="shared" si="14"/>
        <v>365822.20999999996</v>
      </c>
      <c r="C350" s="219" t="s">
        <v>8</v>
      </c>
      <c r="D350" s="228">
        <v>534000</v>
      </c>
      <c r="E350" s="246">
        <v>86920.98</v>
      </c>
    </row>
    <row r="351" spans="1:5" ht="17.25">
      <c r="A351" s="233">
        <f>100000+40500+13000+7000+21000+25000+8500+8000+132000+100000+59000+38000+38000+10000+25000</f>
        <v>625000</v>
      </c>
      <c r="B351" s="236">
        <f t="shared" si="14"/>
        <v>234530</v>
      </c>
      <c r="C351" s="219" t="s">
        <v>9</v>
      </c>
      <c r="D351" s="228">
        <v>541000</v>
      </c>
      <c r="E351" s="246">
        <v>216170</v>
      </c>
    </row>
    <row r="352" spans="1:5" ht="17.25">
      <c r="A352" s="233">
        <f>88700+239000+179300+132000+132000+71000+132000+147000+132000+141000+349000+177000+362000+370000+53600+145000+185000+110000+287000+300000+100000+40000+640000</f>
        <v>4512600</v>
      </c>
      <c r="B352" s="236">
        <f t="shared" si="14"/>
        <v>53000</v>
      </c>
      <c r="C352" s="219" t="s">
        <v>10</v>
      </c>
      <c r="D352" s="228">
        <v>542000</v>
      </c>
      <c r="E352" s="246">
        <v>53000</v>
      </c>
    </row>
    <row r="353" spans="1:5" ht="17.25">
      <c r="A353" s="233">
        <f>60000+268000+3877332</f>
        <v>4205332</v>
      </c>
      <c r="B353" s="236">
        <f t="shared" si="14"/>
        <v>1969000</v>
      </c>
      <c r="C353" s="219" t="s">
        <v>13</v>
      </c>
      <c r="D353" s="220">
        <v>560000</v>
      </c>
      <c r="E353" s="246">
        <v>1025000</v>
      </c>
    </row>
    <row r="354" spans="1:5" ht="15.75">
      <c r="A354" s="233">
        <v>25000</v>
      </c>
      <c r="B354" s="236">
        <f t="shared" si="14"/>
        <v>0</v>
      </c>
      <c r="C354" s="219" t="s">
        <v>12</v>
      </c>
      <c r="D354" s="228">
        <v>550000</v>
      </c>
      <c r="E354" s="250">
        <v>0</v>
      </c>
    </row>
    <row r="355" spans="1:5" ht="16.5" thickBot="1">
      <c r="A355" s="237">
        <f>SUM(A342:A354)</f>
        <v>33020200</v>
      </c>
      <c r="B355" s="237">
        <f>SUM(B342:B354)</f>
        <v>7778804.649999999</v>
      </c>
      <c r="C355" s="224"/>
      <c r="D355" s="219"/>
      <c r="E355" s="237">
        <f>SUM(E342:E354)</f>
        <v>3118875.5300000003</v>
      </c>
    </row>
    <row r="356" spans="1:5" ht="16.5" thickTop="1">
      <c r="A356" s="238"/>
      <c r="B356" s="236">
        <f>+E356+B259</f>
        <v>605090</v>
      </c>
      <c r="C356" s="219" t="s">
        <v>493</v>
      </c>
      <c r="D356" s="228">
        <v>441000</v>
      </c>
      <c r="E356" s="233">
        <f>129700+91800</f>
        <v>221500</v>
      </c>
    </row>
    <row r="357" spans="1:5" ht="15.75">
      <c r="A357" s="239"/>
      <c r="B357" s="236">
        <f aca="true" t="shared" si="15" ref="B357:B362">+E357+B260</f>
        <v>0</v>
      </c>
      <c r="C357" s="219" t="s">
        <v>25</v>
      </c>
      <c r="D357" s="228">
        <v>412210</v>
      </c>
      <c r="E357" s="233"/>
    </row>
    <row r="358" spans="1:5" ht="15.75">
      <c r="A358" s="239"/>
      <c r="B358" s="236">
        <f t="shared" si="15"/>
        <v>0</v>
      </c>
      <c r="C358" s="219" t="s">
        <v>134</v>
      </c>
      <c r="D358" s="220">
        <v>110202</v>
      </c>
      <c r="E358" s="233">
        <v>0</v>
      </c>
    </row>
    <row r="359" spans="1:5" ht="15.75">
      <c r="A359" s="239"/>
      <c r="B359" s="236">
        <f t="shared" si="15"/>
        <v>67660</v>
      </c>
      <c r="C359" s="219" t="s">
        <v>126</v>
      </c>
      <c r="D359" s="228">
        <v>110605</v>
      </c>
      <c r="E359" s="233">
        <f>22260+15600</f>
        <v>37860</v>
      </c>
    </row>
    <row r="360" spans="1:5" ht="15.75">
      <c r="A360" s="239"/>
      <c r="B360" s="236">
        <f t="shared" si="15"/>
        <v>1612200</v>
      </c>
      <c r="C360" s="219" t="s">
        <v>335</v>
      </c>
      <c r="D360" s="228">
        <v>110609</v>
      </c>
      <c r="E360" s="233">
        <v>876700</v>
      </c>
    </row>
    <row r="361" spans="1:5" ht="15.75">
      <c r="A361" s="239"/>
      <c r="B361" s="236">
        <f t="shared" si="15"/>
        <v>2018061</v>
      </c>
      <c r="C361" s="219" t="s">
        <v>135</v>
      </c>
      <c r="D361" s="220">
        <v>110606</v>
      </c>
      <c r="E361" s="233">
        <v>103116</v>
      </c>
    </row>
    <row r="362" spans="1:5" ht="15.75">
      <c r="A362" s="239"/>
      <c r="B362" s="236">
        <f t="shared" si="15"/>
        <v>36855.29</v>
      </c>
      <c r="C362" s="219" t="s">
        <v>26</v>
      </c>
      <c r="D362" s="220">
        <v>230102</v>
      </c>
      <c r="E362" s="233">
        <v>6686.14</v>
      </c>
    </row>
    <row r="363" spans="1:5" ht="15.75">
      <c r="A363" s="239"/>
      <c r="B363" s="236">
        <f>+E363+B266</f>
        <v>434382</v>
      </c>
      <c r="C363" s="219" t="s">
        <v>323</v>
      </c>
      <c r="D363" s="220">
        <v>230108</v>
      </c>
      <c r="E363" s="233">
        <v>100</v>
      </c>
    </row>
    <row r="364" spans="1:5" ht="15.75">
      <c r="A364" s="239"/>
      <c r="B364" s="236">
        <f>+E364+B267</f>
        <v>0</v>
      </c>
      <c r="C364" s="219" t="s">
        <v>86</v>
      </c>
      <c r="D364" s="229">
        <v>230110</v>
      </c>
      <c r="E364" s="233">
        <v>0</v>
      </c>
    </row>
    <row r="365" spans="1:5" ht="15.75">
      <c r="A365" s="239"/>
      <c r="B365" s="236">
        <f>+E365+B268</f>
        <v>0</v>
      </c>
      <c r="C365" s="219" t="s">
        <v>331</v>
      </c>
      <c r="D365" s="229">
        <v>230109</v>
      </c>
      <c r="E365" s="233">
        <v>0</v>
      </c>
    </row>
    <row r="366" spans="1:5" ht="15.75">
      <c r="A366" s="239"/>
      <c r="B366" s="236">
        <f>+E366+B269</f>
        <v>0</v>
      </c>
      <c r="C366" s="219" t="s">
        <v>346</v>
      </c>
      <c r="D366" s="229">
        <v>230111</v>
      </c>
      <c r="E366" s="233">
        <v>0</v>
      </c>
    </row>
    <row r="367" spans="1:5" ht="15.75">
      <c r="A367" s="239"/>
      <c r="B367" s="236">
        <f>+E367+B270</f>
        <v>9959</v>
      </c>
      <c r="C367" s="219" t="s">
        <v>373</v>
      </c>
      <c r="D367" s="229">
        <v>230112</v>
      </c>
      <c r="E367" s="233">
        <v>7084</v>
      </c>
    </row>
    <row r="368" spans="1:5" ht="15.75" hidden="1">
      <c r="A368" s="239"/>
      <c r="B368" s="236">
        <f>+E368+B271</f>
        <v>0</v>
      </c>
      <c r="C368" s="221" t="s">
        <v>461</v>
      </c>
      <c r="D368" s="220">
        <v>230113</v>
      </c>
      <c r="E368" s="233">
        <v>0</v>
      </c>
    </row>
    <row r="369" spans="1:5" ht="15.75">
      <c r="A369" s="239"/>
      <c r="B369" s="236">
        <f>+E369+B272</f>
        <v>4592</v>
      </c>
      <c r="C369" s="221" t="s">
        <v>25</v>
      </c>
      <c r="D369" s="220">
        <v>230114</v>
      </c>
      <c r="E369" s="233">
        <v>0</v>
      </c>
    </row>
    <row r="370" spans="1:5" ht="15.75">
      <c r="A370" s="239"/>
      <c r="B370" s="236">
        <f>+E370+B273</f>
        <v>2100</v>
      </c>
      <c r="C370" s="221" t="s">
        <v>318</v>
      </c>
      <c r="D370" s="220">
        <v>230115</v>
      </c>
      <c r="E370" s="233">
        <v>0</v>
      </c>
    </row>
    <row r="371" spans="1:5" ht="15.75">
      <c r="A371" s="239"/>
      <c r="B371" s="236">
        <f>+E371+B274</f>
        <v>1500</v>
      </c>
      <c r="C371" s="221" t="s">
        <v>124</v>
      </c>
      <c r="D371" s="220">
        <v>230116</v>
      </c>
      <c r="E371" s="233">
        <v>0</v>
      </c>
    </row>
    <row r="372" spans="1:5" ht="15.75" hidden="1">
      <c r="A372" s="239"/>
      <c r="B372" s="236">
        <f>+E372+B275</f>
        <v>0</v>
      </c>
      <c r="C372" s="219" t="s">
        <v>58</v>
      </c>
      <c r="D372" s="229">
        <v>210500</v>
      </c>
      <c r="E372" s="233">
        <v>0</v>
      </c>
    </row>
    <row r="373" spans="1:5" ht="15.75">
      <c r="A373" s="239"/>
      <c r="B373" s="236">
        <f>+E373+B276</f>
        <v>1052244</v>
      </c>
      <c r="C373" s="219" t="s">
        <v>14</v>
      </c>
      <c r="D373" s="229">
        <v>210400</v>
      </c>
      <c r="E373" s="233">
        <v>324000</v>
      </c>
    </row>
    <row r="374" spans="1:5" ht="15.75">
      <c r="A374" s="239"/>
      <c r="B374" s="236">
        <f>+E374+B277</f>
        <v>521347.83</v>
      </c>
      <c r="C374" s="219" t="s">
        <v>15</v>
      </c>
      <c r="D374" s="220">
        <v>300000</v>
      </c>
      <c r="E374" s="233">
        <v>182500</v>
      </c>
    </row>
    <row r="375" spans="1:5" ht="15.75" hidden="1">
      <c r="A375" s="239"/>
      <c r="B375" s="236">
        <f>+E375+B278</f>
        <v>0</v>
      </c>
      <c r="C375" s="230" t="s">
        <v>348</v>
      </c>
      <c r="D375" s="220">
        <v>441000</v>
      </c>
      <c r="E375" s="233">
        <v>0</v>
      </c>
    </row>
    <row r="376" spans="1:5" ht="15.75" hidden="1">
      <c r="A376" s="239"/>
      <c r="B376" s="236">
        <f>+E376+B279</f>
        <v>0</v>
      </c>
      <c r="C376" s="230" t="s">
        <v>394</v>
      </c>
      <c r="D376" s="220">
        <v>441000</v>
      </c>
      <c r="E376" s="233">
        <v>0</v>
      </c>
    </row>
    <row r="377" spans="1:5" ht="15.75">
      <c r="A377" s="239"/>
      <c r="B377" s="236"/>
      <c r="C377" s="230"/>
      <c r="D377" s="231"/>
      <c r="E377" s="233">
        <v>0</v>
      </c>
    </row>
    <row r="378" spans="1:5" ht="15.75">
      <c r="A378" s="239"/>
      <c r="B378" s="243">
        <f>SUM(B356:B377)</f>
        <v>6365991.12</v>
      </c>
      <c r="C378" s="230"/>
      <c r="D378" s="223"/>
      <c r="E378" s="243">
        <f>SUM(E356:E377)</f>
        <v>1759546.14</v>
      </c>
    </row>
    <row r="379" spans="1:5" ht="16.5" thickBot="1">
      <c r="A379" s="240"/>
      <c r="B379" s="237">
        <f>SUM(B378,B355)</f>
        <v>14144795.77</v>
      </c>
      <c r="C379" s="232" t="s">
        <v>31</v>
      </c>
      <c r="D379" s="223"/>
      <c r="E379" s="237">
        <f>SUM(E378,E355)</f>
        <v>4878421.67</v>
      </c>
    </row>
    <row r="380" spans="2:5" ht="16.5" thickTop="1">
      <c r="B380" s="219"/>
      <c r="C380" s="346" t="s">
        <v>146</v>
      </c>
      <c r="D380" s="223"/>
      <c r="E380" s="219"/>
    </row>
    <row r="381" spans="2:5" ht="15.75">
      <c r="B381" s="247"/>
      <c r="C381" s="346" t="s">
        <v>149</v>
      </c>
      <c r="D381" s="223"/>
      <c r="E381" s="247"/>
    </row>
    <row r="382" spans="2:5" ht="15.75">
      <c r="B382" s="247">
        <f>SUM(B333-B379)</f>
        <v>9429442.91</v>
      </c>
      <c r="C382" s="346" t="s">
        <v>147</v>
      </c>
      <c r="E382" s="247">
        <f>SUM(E333-E379)</f>
        <v>-346915.4299999997</v>
      </c>
    </row>
    <row r="383" spans="2:6" ht="16.5" thickBot="1">
      <c r="B383" s="248">
        <f>SUM(B298+B333-B379)</f>
        <v>32494391.98</v>
      </c>
      <c r="C383" s="346" t="s">
        <v>148</v>
      </c>
      <c r="E383" s="248">
        <f>SUM(E298+E333-E379)</f>
        <v>32494391.979999997</v>
      </c>
      <c r="F383" s="102">
        <f>+งบดุลบัญชี!AC5</f>
        <v>32490049.379999995</v>
      </c>
    </row>
    <row r="384" spans="2:6" ht="16.5" thickTop="1">
      <c r="B384" s="249"/>
      <c r="C384" s="346"/>
      <c r="E384" s="249"/>
      <c r="F384" s="102">
        <f>+งบดุลบัญชี!AC4</f>
        <v>4342.6</v>
      </c>
    </row>
    <row r="385" ht="15.75">
      <c r="F385" s="102">
        <f>SUM(F383:F384)</f>
        <v>32494391.979999997</v>
      </c>
    </row>
    <row r="386" spans="1:6" ht="15.75">
      <c r="A386" s="484" t="s">
        <v>370</v>
      </c>
      <c r="B386" s="484"/>
      <c r="C386" s="345" t="s">
        <v>33</v>
      </c>
      <c r="D386" s="484" t="s">
        <v>327</v>
      </c>
      <c r="E386" s="484"/>
      <c r="F386" s="102">
        <f>+F385-E383</f>
        <v>0</v>
      </c>
    </row>
    <row r="387" spans="1:5" ht="15.75">
      <c r="A387" s="484" t="s">
        <v>436</v>
      </c>
      <c r="B387" s="484"/>
      <c r="C387" s="345" t="s">
        <v>267</v>
      </c>
      <c r="D387" s="484" t="s">
        <v>38</v>
      </c>
      <c r="E387" s="484"/>
    </row>
    <row r="388" spans="1:2" ht="15.75">
      <c r="A388" s="484" t="s">
        <v>437</v>
      </c>
      <c r="B388" s="484"/>
    </row>
    <row r="389" spans="1:5" ht="15.75">
      <c r="A389" s="234" t="s">
        <v>29</v>
      </c>
      <c r="D389" s="251" t="s">
        <v>140</v>
      </c>
      <c r="E389" s="241" t="s">
        <v>553</v>
      </c>
    </row>
    <row r="390" spans="1:5" ht="15.75">
      <c r="A390" s="485" t="s">
        <v>136</v>
      </c>
      <c r="B390" s="485"/>
      <c r="C390" s="485"/>
      <c r="D390" s="485"/>
      <c r="E390" s="485"/>
    </row>
    <row r="391" ht="15.75">
      <c r="E391" s="364" t="s">
        <v>531</v>
      </c>
    </row>
    <row r="392" spans="1:5" ht="15.75">
      <c r="A392" s="486" t="s">
        <v>137</v>
      </c>
      <c r="B392" s="486"/>
      <c r="C392" s="226"/>
      <c r="D392" s="226"/>
      <c r="E392" s="365" t="s">
        <v>139</v>
      </c>
    </row>
    <row r="393" spans="1:5" ht="15.75">
      <c r="A393" s="227" t="s">
        <v>16</v>
      </c>
      <c r="B393" s="227" t="s">
        <v>138</v>
      </c>
      <c r="C393" s="227" t="s">
        <v>0</v>
      </c>
      <c r="D393" s="227" t="s">
        <v>133</v>
      </c>
      <c r="E393" s="227" t="s">
        <v>138</v>
      </c>
    </row>
    <row r="394" spans="1:5" ht="15.75">
      <c r="A394" s="235" t="s">
        <v>49</v>
      </c>
      <c r="B394" s="235" t="s">
        <v>49</v>
      </c>
      <c r="C394" s="222"/>
      <c r="D394" s="222"/>
      <c r="E394" s="235" t="s">
        <v>49</v>
      </c>
    </row>
    <row r="395" spans="1:5" ht="15.75">
      <c r="A395" s="233"/>
      <c r="B395" s="242">
        <v>23064949.07</v>
      </c>
      <c r="C395" s="218" t="s">
        <v>141</v>
      </c>
      <c r="D395" s="219"/>
      <c r="E395" s="242">
        <f>+E383</f>
        <v>32494391.979999997</v>
      </c>
    </row>
    <row r="396" spans="1:5" ht="15.75">
      <c r="A396" s="233"/>
      <c r="B396" s="233"/>
      <c r="C396" s="218" t="s">
        <v>142</v>
      </c>
      <c r="D396" s="219"/>
      <c r="E396" s="233"/>
    </row>
    <row r="397" spans="1:5" ht="15.75">
      <c r="A397" s="236">
        <v>198000</v>
      </c>
      <c r="B397" s="236">
        <f>+E397+B300</f>
        <v>87233.95</v>
      </c>
      <c r="C397" s="219" t="s">
        <v>19</v>
      </c>
      <c r="D397" s="220">
        <v>411000</v>
      </c>
      <c r="E397" s="233">
        <v>72734.59</v>
      </c>
    </row>
    <row r="398" spans="1:5" ht="15.75">
      <c r="A398" s="236">
        <v>260200</v>
      </c>
      <c r="B398" s="236">
        <f aca="true" t="shared" si="16" ref="B398:B404">+E398+B301</f>
        <v>144678.2</v>
      </c>
      <c r="C398" s="219" t="s">
        <v>319</v>
      </c>
      <c r="D398" s="220">
        <v>412000</v>
      </c>
      <c r="E398" s="233">
        <v>19358.2</v>
      </c>
    </row>
    <row r="399" spans="1:5" ht="15.75">
      <c r="A399" s="236">
        <v>300500</v>
      </c>
      <c r="B399" s="236">
        <f t="shared" si="16"/>
        <v>123871.91</v>
      </c>
      <c r="C399" s="219" t="s">
        <v>21</v>
      </c>
      <c r="D399" s="220">
        <v>413000</v>
      </c>
      <c r="E399" s="233">
        <v>0</v>
      </c>
    </row>
    <row r="400" spans="1:5" ht="15.75">
      <c r="A400" s="236">
        <v>200000</v>
      </c>
      <c r="B400" s="236">
        <f t="shared" si="16"/>
        <v>130685</v>
      </c>
      <c r="C400" s="219" t="s">
        <v>23</v>
      </c>
      <c r="D400" s="220">
        <v>414000</v>
      </c>
      <c r="E400" s="233">
        <v>63100</v>
      </c>
    </row>
    <row r="401" spans="1:5" ht="15.75">
      <c r="A401" s="236">
        <v>60000</v>
      </c>
      <c r="B401" s="236">
        <f t="shared" si="16"/>
        <v>264225</v>
      </c>
      <c r="C401" s="219" t="s">
        <v>20</v>
      </c>
      <c r="D401" s="220">
        <v>415000</v>
      </c>
      <c r="E401" s="233">
        <v>14615</v>
      </c>
    </row>
    <row r="402" spans="1:5" ht="15.75">
      <c r="A402" s="236">
        <v>500</v>
      </c>
      <c r="B402" s="236">
        <f t="shared" si="16"/>
        <v>0</v>
      </c>
      <c r="C402" s="219" t="s">
        <v>121</v>
      </c>
      <c r="D402" s="220">
        <v>416000</v>
      </c>
      <c r="E402" s="233">
        <v>0</v>
      </c>
    </row>
    <row r="403" spans="1:5" ht="15.75">
      <c r="A403" s="236">
        <v>14141000</v>
      </c>
      <c r="B403" s="236">
        <f t="shared" si="16"/>
        <v>6573927.43</v>
      </c>
      <c r="C403" s="219" t="s">
        <v>50</v>
      </c>
      <c r="D403" s="220">
        <v>421000</v>
      </c>
      <c r="E403" s="233">
        <v>1411122.75</v>
      </c>
    </row>
    <row r="404" spans="1:5" ht="15.75">
      <c r="A404" s="236">
        <v>17860000</v>
      </c>
      <c r="B404" s="236">
        <f t="shared" si="16"/>
        <v>10443904</v>
      </c>
      <c r="C404" s="219" t="s">
        <v>22</v>
      </c>
      <c r="D404" s="220">
        <v>431002</v>
      </c>
      <c r="E404" s="233">
        <v>0</v>
      </c>
    </row>
    <row r="405" spans="1:5" ht="16.5" thickBot="1">
      <c r="A405" s="237">
        <f>SUM(A397:A404)</f>
        <v>33020200</v>
      </c>
      <c r="B405" s="237">
        <f>SUM(B397:B404)</f>
        <v>17768525.490000002</v>
      </c>
      <c r="C405" s="219"/>
      <c r="D405" s="220"/>
      <c r="E405" s="237">
        <f>SUM(E397:E404)</f>
        <v>1580930.54</v>
      </c>
    </row>
    <row r="406" spans="1:5" ht="16.5" thickTop="1">
      <c r="A406" s="238"/>
      <c r="B406" s="236">
        <f>+E406+B309</f>
        <v>6536131</v>
      </c>
      <c r="C406" s="219" t="s">
        <v>492</v>
      </c>
      <c r="D406" s="220">
        <v>441000</v>
      </c>
      <c r="E406" s="233">
        <v>321265</v>
      </c>
    </row>
    <row r="407" spans="1:5" ht="15.75">
      <c r="A407" s="239"/>
      <c r="B407" s="236">
        <f aca="true" t="shared" si="17" ref="B407:B427">+E407+B310</f>
        <v>40000</v>
      </c>
      <c r="C407" s="219" t="s">
        <v>120</v>
      </c>
      <c r="D407" s="220">
        <v>441000</v>
      </c>
      <c r="E407" s="233">
        <v>40000</v>
      </c>
    </row>
    <row r="408" spans="1:5" ht="15.75">
      <c r="A408" s="239"/>
      <c r="B408" s="236">
        <f t="shared" si="17"/>
        <v>23049.359999999997</v>
      </c>
      <c r="C408" s="219" t="s">
        <v>26</v>
      </c>
      <c r="D408" s="220">
        <v>230102</v>
      </c>
      <c r="E408" s="233">
        <v>1394.01</v>
      </c>
    </row>
    <row r="409" spans="1:5" ht="15.75">
      <c r="A409" s="223"/>
      <c r="B409" s="236">
        <f t="shared" si="17"/>
        <v>102.81</v>
      </c>
      <c r="C409" s="219" t="s">
        <v>143</v>
      </c>
      <c r="D409" s="220">
        <v>230105</v>
      </c>
      <c r="E409" s="233">
        <v>84.43</v>
      </c>
    </row>
    <row r="410" spans="1:5" ht="15.75">
      <c r="A410" s="230"/>
      <c r="B410" s="236">
        <f t="shared" si="17"/>
        <v>1433628</v>
      </c>
      <c r="C410" s="219" t="s">
        <v>27</v>
      </c>
      <c r="D410" s="220">
        <v>230108</v>
      </c>
      <c r="E410" s="233">
        <v>336075</v>
      </c>
    </row>
    <row r="411" spans="1:5" ht="15.75">
      <c r="A411" s="230"/>
      <c r="B411" s="236">
        <f t="shared" si="17"/>
        <v>27699.75</v>
      </c>
      <c r="C411" s="219" t="s">
        <v>316</v>
      </c>
      <c r="D411" s="220">
        <v>230109</v>
      </c>
      <c r="E411" s="233">
        <v>27699.75</v>
      </c>
    </row>
    <row r="412" spans="1:5" ht="15.75">
      <c r="A412" s="230"/>
      <c r="B412" s="236">
        <f t="shared" si="17"/>
        <v>4915</v>
      </c>
      <c r="C412" s="221" t="s">
        <v>86</v>
      </c>
      <c r="D412" s="220">
        <v>230110</v>
      </c>
      <c r="E412" s="233">
        <v>0</v>
      </c>
    </row>
    <row r="413" spans="1:5" ht="15.75">
      <c r="A413" s="230"/>
      <c r="B413" s="236">
        <f t="shared" si="17"/>
        <v>0</v>
      </c>
      <c r="C413" s="221" t="s">
        <v>346</v>
      </c>
      <c r="D413" s="220">
        <v>230111</v>
      </c>
      <c r="E413" s="233">
        <v>0</v>
      </c>
    </row>
    <row r="414" spans="1:5" ht="15.75">
      <c r="A414" s="230"/>
      <c r="B414" s="236">
        <f t="shared" si="17"/>
        <v>10586</v>
      </c>
      <c r="C414" s="221" t="s">
        <v>373</v>
      </c>
      <c r="D414" s="220">
        <v>230112</v>
      </c>
      <c r="E414" s="233">
        <v>0</v>
      </c>
    </row>
    <row r="415" spans="1:5" ht="15.75">
      <c r="A415" s="230"/>
      <c r="B415" s="236">
        <f t="shared" si="17"/>
        <v>13650</v>
      </c>
      <c r="C415" s="221" t="s">
        <v>461</v>
      </c>
      <c r="D415" s="220">
        <v>230113</v>
      </c>
      <c r="E415" s="233">
        <v>0</v>
      </c>
    </row>
    <row r="416" spans="1:5" ht="15.75">
      <c r="A416" s="230"/>
      <c r="B416" s="236">
        <f t="shared" si="17"/>
        <v>0</v>
      </c>
      <c r="C416" s="221" t="s">
        <v>25</v>
      </c>
      <c r="D416" s="220">
        <v>230114</v>
      </c>
      <c r="E416" s="233">
        <v>0</v>
      </c>
    </row>
    <row r="417" spans="1:5" ht="15.75">
      <c r="A417" s="230"/>
      <c r="B417" s="236">
        <f t="shared" si="17"/>
        <v>20700</v>
      </c>
      <c r="C417" s="221" t="s">
        <v>318</v>
      </c>
      <c r="D417" s="220">
        <v>230115</v>
      </c>
      <c r="E417" s="233">
        <v>0</v>
      </c>
    </row>
    <row r="418" spans="1:5" ht="15.75">
      <c r="A418" s="230"/>
      <c r="B418" s="236">
        <f t="shared" si="17"/>
        <v>1500</v>
      </c>
      <c r="C418" s="221" t="s">
        <v>124</v>
      </c>
      <c r="D418" s="220">
        <v>230116</v>
      </c>
      <c r="E418" s="233">
        <v>0</v>
      </c>
    </row>
    <row r="419" spans="1:5" ht="15.75">
      <c r="A419" s="230"/>
      <c r="B419" s="236">
        <f t="shared" si="17"/>
        <v>46.01</v>
      </c>
      <c r="C419" s="219" t="s">
        <v>56</v>
      </c>
      <c r="D419" s="220">
        <v>110602</v>
      </c>
      <c r="E419" s="233">
        <v>46.01</v>
      </c>
    </row>
    <row r="420" spans="2:5" ht="15.75">
      <c r="B420" s="236">
        <f t="shared" si="17"/>
        <v>0</v>
      </c>
      <c r="C420" s="219" t="s">
        <v>59</v>
      </c>
      <c r="D420" s="220">
        <v>110604</v>
      </c>
      <c r="E420" s="233">
        <v>0</v>
      </c>
    </row>
    <row r="421" spans="2:5" ht="15.75">
      <c r="B421" s="236">
        <f t="shared" si="17"/>
        <v>0</v>
      </c>
      <c r="C421" s="219" t="s">
        <v>126</v>
      </c>
      <c r="D421" s="220">
        <v>110605</v>
      </c>
      <c r="E421" s="233">
        <v>0</v>
      </c>
    </row>
    <row r="422" spans="2:5" ht="15.75">
      <c r="B422" s="236">
        <f t="shared" si="17"/>
        <v>0</v>
      </c>
      <c r="C422" s="219" t="s">
        <v>135</v>
      </c>
      <c r="D422" s="220">
        <v>110606</v>
      </c>
      <c r="E422" s="233">
        <v>0</v>
      </c>
    </row>
    <row r="423" spans="2:5" ht="15.75">
      <c r="B423" s="236">
        <f t="shared" si="17"/>
        <v>0</v>
      </c>
      <c r="C423" s="221" t="s">
        <v>343</v>
      </c>
      <c r="D423" s="220">
        <v>110605</v>
      </c>
      <c r="E423" s="233">
        <v>0</v>
      </c>
    </row>
    <row r="424" spans="2:5" ht="15.75">
      <c r="B424" s="236">
        <f t="shared" si="17"/>
        <v>1200</v>
      </c>
      <c r="C424" s="221" t="s">
        <v>474</v>
      </c>
      <c r="D424" s="220">
        <v>110606</v>
      </c>
      <c r="E424" s="233">
        <v>0</v>
      </c>
    </row>
    <row r="425" spans="2:5" ht="15.75">
      <c r="B425" s="236">
        <f t="shared" si="17"/>
        <v>0</v>
      </c>
      <c r="C425" s="221" t="s">
        <v>392</v>
      </c>
      <c r="D425" s="220">
        <v>110609</v>
      </c>
      <c r="E425" s="233">
        <v>0</v>
      </c>
    </row>
    <row r="426" spans="2:5" ht="15.75">
      <c r="B426" s="236">
        <f t="shared" si="17"/>
        <v>0</v>
      </c>
      <c r="C426" s="221" t="s">
        <v>372</v>
      </c>
      <c r="D426" s="220">
        <v>522000</v>
      </c>
      <c r="E426" s="233">
        <v>0</v>
      </c>
    </row>
    <row r="427" spans="2:5" ht="15.75">
      <c r="B427" s="236">
        <f t="shared" si="17"/>
        <v>10.8</v>
      </c>
      <c r="C427" s="221" t="s">
        <v>289</v>
      </c>
      <c r="D427" s="220">
        <v>230200</v>
      </c>
      <c r="E427" s="233">
        <v>10.8</v>
      </c>
    </row>
    <row r="428" spans="2:5" ht="15.75">
      <c r="B428" s="233"/>
      <c r="C428" s="221"/>
      <c r="D428" s="222"/>
      <c r="E428" s="233"/>
    </row>
    <row r="429" spans="2:5" ht="15.75">
      <c r="B429" s="243">
        <f>SUM(B406:B428)</f>
        <v>8113218.7299999995</v>
      </c>
      <c r="C429" s="221"/>
      <c r="D429" s="223"/>
      <c r="E429" s="243">
        <f>SUM(E406:E428)</f>
        <v>726575</v>
      </c>
    </row>
    <row r="430" spans="2:5" ht="16.5" thickBot="1">
      <c r="B430" s="237">
        <f>SUM(B429+B405)</f>
        <v>25881744.220000003</v>
      </c>
      <c r="C430" s="224" t="s">
        <v>32</v>
      </c>
      <c r="D430" s="223"/>
      <c r="E430" s="237">
        <f>SUM(E405,E429)</f>
        <v>2307505.54</v>
      </c>
    </row>
    <row r="431" ht="16.5" thickTop="1"/>
    <row r="435" spans="1:5" ht="15.75">
      <c r="A435" s="486" t="s">
        <v>137</v>
      </c>
      <c r="B435" s="486"/>
      <c r="C435" s="226"/>
      <c r="D435" s="226"/>
      <c r="E435" s="365" t="s">
        <v>139</v>
      </c>
    </row>
    <row r="436" spans="1:5" ht="15.75">
      <c r="A436" s="227" t="s">
        <v>16</v>
      </c>
      <c r="B436" s="227" t="s">
        <v>138</v>
      </c>
      <c r="C436" s="227" t="s">
        <v>0</v>
      </c>
      <c r="D436" s="227" t="s">
        <v>133</v>
      </c>
      <c r="E436" s="227" t="s">
        <v>138</v>
      </c>
    </row>
    <row r="437" spans="1:5" ht="15.75">
      <c r="A437" s="235" t="s">
        <v>49</v>
      </c>
      <c r="B437" s="235" t="s">
        <v>49</v>
      </c>
      <c r="C437" s="222"/>
      <c r="D437" s="222"/>
      <c r="E437" s="235" t="s">
        <v>49</v>
      </c>
    </row>
    <row r="438" spans="1:5" ht="15.75">
      <c r="A438" s="233"/>
      <c r="B438" s="233"/>
      <c r="C438" s="218" t="s">
        <v>30</v>
      </c>
      <c r="D438" s="219"/>
      <c r="E438" s="244"/>
    </row>
    <row r="439" spans="1:5" ht="17.25">
      <c r="A439" s="233">
        <f>656778+310000+108000+120000+303204+131216</f>
        <v>1629198</v>
      </c>
      <c r="B439" s="236">
        <f>+E439+B342</f>
        <v>218487</v>
      </c>
      <c r="C439" s="219" t="s">
        <v>11</v>
      </c>
      <c r="D439" s="228">
        <v>510000</v>
      </c>
      <c r="E439" s="245">
        <v>20099</v>
      </c>
    </row>
    <row r="440" spans="1:5" ht="17.25">
      <c r="A440" s="233">
        <f>120000+1490400+198720+695520+120000</f>
        <v>2624640</v>
      </c>
      <c r="B440" s="236">
        <f aca="true" t="shared" si="18" ref="B440:B451">+E440+B343</f>
        <v>1088614</v>
      </c>
      <c r="C440" s="219" t="s">
        <v>144</v>
      </c>
      <c r="D440" s="228">
        <v>521000</v>
      </c>
      <c r="E440" s="246">
        <v>218720</v>
      </c>
    </row>
    <row r="441" spans="1:5" ht="17.25">
      <c r="A441" s="233">
        <f>141600+5095000+158000</f>
        <v>5394600</v>
      </c>
      <c r="B441" s="236">
        <f t="shared" si="18"/>
        <v>1787692.23</v>
      </c>
      <c r="C441" s="219" t="s">
        <v>145</v>
      </c>
      <c r="D441" s="228">
        <v>522000</v>
      </c>
      <c r="E441" s="246">
        <v>361591</v>
      </c>
    </row>
    <row r="442" spans="1:5" ht="17.25">
      <c r="A442" s="233">
        <f>38000+326000</f>
        <v>364000</v>
      </c>
      <c r="B442" s="236">
        <f t="shared" si="18"/>
        <v>175200</v>
      </c>
      <c r="C442" s="219" t="s">
        <v>3</v>
      </c>
      <c r="D442" s="228">
        <v>220400</v>
      </c>
      <c r="E442" s="246">
        <v>30960</v>
      </c>
    </row>
    <row r="443" spans="1:5" ht="17.25">
      <c r="A443" s="233">
        <f>446000+2811000</f>
        <v>3257000</v>
      </c>
      <c r="B443" s="236">
        <f t="shared" si="18"/>
        <v>969315</v>
      </c>
      <c r="C443" s="219" t="s">
        <v>4</v>
      </c>
      <c r="D443" s="228">
        <v>220600</v>
      </c>
      <c r="E443" s="246">
        <v>233235</v>
      </c>
    </row>
    <row r="444" spans="1:5" ht="17.25">
      <c r="A444" s="233">
        <f>82000+24000+70500+366000+15000</f>
        <v>557500</v>
      </c>
      <c r="B444" s="236">
        <f t="shared" si="18"/>
        <v>129711</v>
      </c>
      <c r="C444" s="219" t="s">
        <v>5</v>
      </c>
      <c r="D444" s="228">
        <v>531000</v>
      </c>
      <c r="E444" s="246">
        <v>34800</v>
      </c>
    </row>
    <row r="445" spans="1:5" ht="17.25">
      <c r="A445" s="233">
        <f>1873000+40000+30000+30000+40000+20000+30000+20000+50000+30000+30000+90000+20000+50000+150000+1094250+10000+100000+550000+20000+200000+150000+165000+10000+30000+10000+10000+2000+120000</f>
        <v>4974250</v>
      </c>
      <c r="B445" s="236">
        <f t="shared" si="18"/>
        <v>1466107.56</v>
      </c>
      <c r="C445" s="219" t="s">
        <v>6</v>
      </c>
      <c r="D445" s="228">
        <v>532000</v>
      </c>
      <c r="E445" s="246">
        <v>229691.35</v>
      </c>
    </row>
    <row r="446" spans="1:5" ht="17.25">
      <c r="A446" s="233">
        <f>150000+160000+90000+980000+100000+20000+50000+2061080+100000+210000</f>
        <v>3921080</v>
      </c>
      <c r="B446" s="236">
        <f t="shared" si="18"/>
        <v>529543.36</v>
      </c>
      <c r="C446" s="219" t="s">
        <v>7</v>
      </c>
      <c r="D446" s="228">
        <v>533000</v>
      </c>
      <c r="E446" s="246">
        <v>79121.36</v>
      </c>
    </row>
    <row r="447" spans="1:5" ht="17.25">
      <c r="A447" s="233">
        <f>110000+770000+40000+10000</f>
        <v>930000</v>
      </c>
      <c r="B447" s="236">
        <f t="shared" si="18"/>
        <v>444409.06999999995</v>
      </c>
      <c r="C447" s="219" t="s">
        <v>8</v>
      </c>
      <c r="D447" s="228">
        <v>534000</v>
      </c>
      <c r="E447" s="246">
        <v>78586.86</v>
      </c>
    </row>
    <row r="448" spans="1:5" ht="17.25">
      <c r="A448" s="233">
        <f>100000+40500+13000+7000+21000+25000+8500+8000+132000+100000+59000+38000+38000+10000+25000</f>
        <v>625000</v>
      </c>
      <c r="B448" s="236">
        <f t="shared" si="18"/>
        <v>234530</v>
      </c>
      <c r="C448" s="219" t="s">
        <v>9</v>
      </c>
      <c r="D448" s="228">
        <v>541000</v>
      </c>
      <c r="E448" s="246">
        <v>0</v>
      </c>
    </row>
    <row r="449" spans="1:5" ht="17.25">
      <c r="A449" s="233">
        <f>88700+239000+179300+132000+132000+71000+132000+147000+132000+141000+349000+177000+362000+370000+53600+145000+185000+110000+287000+300000+100000+40000+640000</f>
        <v>4512600</v>
      </c>
      <c r="B449" s="236">
        <f t="shared" si="18"/>
        <v>123850</v>
      </c>
      <c r="C449" s="219" t="s">
        <v>10</v>
      </c>
      <c r="D449" s="228">
        <v>542000</v>
      </c>
      <c r="E449" s="246">
        <v>70850</v>
      </c>
    </row>
    <row r="450" spans="1:5" ht="17.25">
      <c r="A450" s="233">
        <f>60000+268000+3877332</f>
        <v>4205332</v>
      </c>
      <c r="B450" s="236">
        <f t="shared" si="18"/>
        <v>1969000</v>
      </c>
      <c r="C450" s="219" t="s">
        <v>13</v>
      </c>
      <c r="D450" s="220">
        <v>560000</v>
      </c>
      <c r="E450" s="246">
        <v>0</v>
      </c>
    </row>
    <row r="451" spans="1:5" ht="15.75">
      <c r="A451" s="233">
        <v>25000</v>
      </c>
      <c r="B451" s="236">
        <f t="shared" si="18"/>
        <v>0</v>
      </c>
      <c r="C451" s="219" t="s">
        <v>12</v>
      </c>
      <c r="D451" s="228">
        <v>550000</v>
      </c>
      <c r="E451" s="250">
        <v>0</v>
      </c>
    </row>
    <row r="452" spans="1:5" ht="16.5" thickBot="1">
      <c r="A452" s="237">
        <f>SUM(A439:A451)</f>
        <v>33020200</v>
      </c>
      <c r="B452" s="237">
        <f>SUM(B439:B451)</f>
        <v>9136459.220000003</v>
      </c>
      <c r="C452" s="224"/>
      <c r="D452" s="219"/>
      <c r="E452" s="237">
        <f>SUM(E439:E451)</f>
        <v>1357654.5700000003</v>
      </c>
    </row>
    <row r="453" spans="1:5" ht="16.5" thickTop="1">
      <c r="A453" s="238"/>
      <c r="B453" s="236">
        <f>+E453+B356</f>
        <v>802150</v>
      </c>
      <c r="C453" s="219" t="s">
        <v>493</v>
      </c>
      <c r="D453" s="228">
        <v>441000</v>
      </c>
      <c r="E453" s="233">
        <f>127900+69160</f>
        <v>197060</v>
      </c>
    </row>
    <row r="454" spans="1:5" ht="15.75">
      <c r="A454" s="239"/>
      <c r="B454" s="236">
        <f aca="true" t="shared" si="19" ref="B454:B459">+E454+B357</f>
        <v>0</v>
      </c>
      <c r="C454" s="219" t="s">
        <v>25</v>
      </c>
      <c r="D454" s="228">
        <v>412210</v>
      </c>
      <c r="E454" s="233">
        <v>0</v>
      </c>
    </row>
    <row r="455" spans="1:5" ht="15.75">
      <c r="A455" s="239"/>
      <c r="B455" s="236">
        <f t="shared" si="19"/>
        <v>0</v>
      </c>
      <c r="C455" s="219" t="s">
        <v>134</v>
      </c>
      <c r="D455" s="220">
        <v>110202</v>
      </c>
      <c r="E455" s="233">
        <v>0</v>
      </c>
    </row>
    <row r="456" spans="1:5" ht="15.75">
      <c r="A456" s="239"/>
      <c r="B456" s="236">
        <f t="shared" si="19"/>
        <v>79060</v>
      </c>
      <c r="C456" s="219" t="s">
        <v>126</v>
      </c>
      <c r="D456" s="228">
        <v>110605</v>
      </c>
      <c r="E456" s="233">
        <v>11400</v>
      </c>
    </row>
    <row r="457" spans="1:5" ht="15.75">
      <c r="A457" s="239"/>
      <c r="B457" s="236">
        <f t="shared" si="19"/>
        <v>2281400</v>
      </c>
      <c r="C457" s="219" t="s">
        <v>335</v>
      </c>
      <c r="D457" s="228">
        <v>110609</v>
      </c>
      <c r="E457" s="233">
        <v>669200</v>
      </c>
    </row>
    <row r="458" spans="1:5" ht="15.75">
      <c r="A458" s="239"/>
      <c r="B458" s="236">
        <f t="shared" si="19"/>
        <v>2195661</v>
      </c>
      <c r="C458" s="219" t="s">
        <v>135</v>
      </c>
      <c r="D458" s="220">
        <v>110606</v>
      </c>
      <c r="E458" s="233">
        <v>177600</v>
      </c>
    </row>
    <row r="459" spans="1:5" ht="15.75">
      <c r="A459" s="239"/>
      <c r="B459" s="236">
        <f t="shared" si="19"/>
        <v>47744.39</v>
      </c>
      <c r="C459" s="219" t="s">
        <v>26</v>
      </c>
      <c r="D459" s="220">
        <v>230102</v>
      </c>
      <c r="E459" s="233">
        <v>10889.1</v>
      </c>
    </row>
    <row r="460" spans="1:5" ht="15.75">
      <c r="A460" s="239"/>
      <c r="B460" s="236">
        <f>+E460+B363</f>
        <v>591627</v>
      </c>
      <c r="C460" s="219" t="s">
        <v>323</v>
      </c>
      <c r="D460" s="220">
        <v>230108</v>
      </c>
      <c r="E460" s="233">
        <v>157245</v>
      </c>
    </row>
    <row r="461" spans="1:5" ht="15.75">
      <c r="A461" s="239"/>
      <c r="B461" s="236">
        <f>+E461+B364</f>
        <v>0</v>
      </c>
      <c r="C461" s="219" t="s">
        <v>86</v>
      </c>
      <c r="D461" s="229">
        <v>230110</v>
      </c>
      <c r="E461" s="233">
        <v>0</v>
      </c>
    </row>
    <row r="462" spans="1:5" ht="15.75">
      <c r="A462" s="239"/>
      <c r="B462" s="236">
        <f>+E462+B365</f>
        <v>27699.75</v>
      </c>
      <c r="C462" s="219" t="s">
        <v>331</v>
      </c>
      <c r="D462" s="229">
        <v>230109</v>
      </c>
      <c r="E462" s="233">
        <v>27699.75</v>
      </c>
    </row>
    <row r="463" spans="1:5" ht="15.75" hidden="1">
      <c r="A463" s="239"/>
      <c r="B463" s="236">
        <f>+E463+B366</f>
        <v>0</v>
      </c>
      <c r="C463" s="219" t="s">
        <v>346</v>
      </c>
      <c r="D463" s="229">
        <v>230111</v>
      </c>
      <c r="E463" s="233">
        <v>0</v>
      </c>
    </row>
    <row r="464" spans="1:5" ht="15.75">
      <c r="A464" s="239"/>
      <c r="B464" s="236">
        <f>+E464+B367</f>
        <v>10586</v>
      </c>
      <c r="C464" s="219" t="s">
        <v>373</v>
      </c>
      <c r="D464" s="229">
        <v>230112</v>
      </c>
      <c r="E464" s="233">
        <v>627</v>
      </c>
    </row>
    <row r="465" spans="1:5" ht="15.75">
      <c r="A465" s="239"/>
      <c r="B465" s="236">
        <f>+E465+B368</f>
        <v>0</v>
      </c>
      <c r="C465" s="221" t="s">
        <v>461</v>
      </c>
      <c r="D465" s="220">
        <v>230113</v>
      </c>
      <c r="E465" s="233">
        <v>0</v>
      </c>
    </row>
    <row r="466" spans="1:5" ht="15.75">
      <c r="A466" s="239"/>
      <c r="B466" s="236">
        <f>+E466+B369</f>
        <v>4592</v>
      </c>
      <c r="C466" s="221" t="s">
        <v>25</v>
      </c>
      <c r="D466" s="220">
        <v>230114</v>
      </c>
      <c r="E466" s="233">
        <v>0</v>
      </c>
    </row>
    <row r="467" spans="1:5" ht="15.75">
      <c r="A467" s="239"/>
      <c r="B467" s="236">
        <f>+E467+B370</f>
        <v>20700</v>
      </c>
      <c r="C467" s="221" t="s">
        <v>318</v>
      </c>
      <c r="D467" s="220">
        <v>230115</v>
      </c>
      <c r="E467" s="233">
        <v>18600</v>
      </c>
    </row>
    <row r="468" spans="1:5" ht="15.75">
      <c r="A468" s="239"/>
      <c r="B468" s="236">
        <f>+E468+B371</f>
        <v>1500</v>
      </c>
      <c r="C468" s="221" t="s">
        <v>124</v>
      </c>
      <c r="D468" s="220">
        <v>230116</v>
      </c>
      <c r="E468" s="233">
        <v>0</v>
      </c>
    </row>
    <row r="469" spans="1:5" ht="15.75" hidden="1">
      <c r="A469" s="239"/>
      <c r="B469" s="236">
        <f>+E469+B372</f>
        <v>0</v>
      </c>
      <c r="C469" s="219" t="s">
        <v>58</v>
      </c>
      <c r="D469" s="229">
        <v>210500</v>
      </c>
      <c r="E469" s="233">
        <v>0</v>
      </c>
    </row>
    <row r="470" spans="1:5" ht="15.75">
      <c r="A470" s="239"/>
      <c r="B470" s="236">
        <f>+E470+B373</f>
        <v>1052244</v>
      </c>
      <c r="C470" s="219" t="s">
        <v>14</v>
      </c>
      <c r="D470" s="229">
        <v>210400</v>
      </c>
      <c r="E470" s="233">
        <v>0</v>
      </c>
    </row>
    <row r="471" spans="1:5" ht="15.75">
      <c r="A471" s="239"/>
      <c r="B471" s="236">
        <f>+E471+B374</f>
        <v>521347.83</v>
      </c>
      <c r="C471" s="219" t="s">
        <v>15</v>
      </c>
      <c r="D471" s="220">
        <v>300000</v>
      </c>
      <c r="E471" s="233">
        <v>0</v>
      </c>
    </row>
    <row r="472" spans="1:5" ht="15.75" hidden="1">
      <c r="A472" s="239"/>
      <c r="B472" s="236">
        <f>+E472+B375</f>
        <v>0</v>
      </c>
      <c r="C472" s="230" t="s">
        <v>348</v>
      </c>
      <c r="D472" s="220">
        <v>441000</v>
      </c>
      <c r="E472" s="233">
        <v>0</v>
      </c>
    </row>
    <row r="473" spans="1:5" ht="15.75" hidden="1">
      <c r="A473" s="239"/>
      <c r="B473" s="236">
        <f>+E473+B376</f>
        <v>0</v>
      </c>
      <c r="C473" s="230" t="s">
        <v>394</v>
      </c>
      <c r="D473" s="220">
        <v>441000</v>
      </c>
      <c r="E473" s="233">
        <v>0</v>
      </c>
    </row>
    <row r="474" spans="1:5" ht="15.75">
      <c r="A474" s="239"/>
      <c r="B474" s="236"/>
      <c r="C474" s="230"/>
      <c r="D474" s="231"/>
      <c r="E474" s="233">
        <v>0</v>
      </c>
    </row>
    <row r="475" spans="1:5" ht="15.75">
      <c r="A475" s="239"/>
      <c r="B475" s="243">
        <f>SUM(B453:B474)</f>
        <v>7636311.97</v>
      </c>
      <c r="C475" s="230"/>
      <c r="D475" s="223"/>
      <c r="E475" s="243">
        <f>SUM(E453:E474)</f>
        <v>1270320.85</v>
      </c>
    </row>
    <row r="476" spans="1:5" ht="16.5" thickBot="1">
      <c r="A476" s="240"/>
      <c r="B476" s="237">
        <f>SUM(B475,B452)</f>
        <v>16772771.190000001</v>
      </c>
      <c r="C476" s="232" t="s">
        <v>31</v>
      </c>
      <c r="D476" s="223"/>
      <c r="E476" s="237">
        <f>SUM(E475,E452)</f>
        <v>2627975.4200000004</v>
      </c>
    </row>
    <row r="477" spans="2:5" ht="16.5" thickTop="1">
      <c r="B477" s="219"/>
      <c r="C477" s="364" t="s">
        <v>146</v>
      </c>
      <c r="D477" s="223"/>
      <c r="E477" s="219"/>
    </row>
    <row r="478" spans="2:5" ht="15.75">
      <c r="B478" s="247"/>
      <c r="C478" s="364" t="s">
        <v>149</v>
      </c>
      <c r="D478" s="223"/>
      <c r="E478" s="247"/>
    </row>
    <row r="479" spans="2:5" ht="15.75">
      <c r="B479" s="247">
        <f>SUM(B430-B476)</f>
        <v>9108973.030000001</v>
      </c>
      <c r="C479" s="364" t="s">
        <v>147</v>
      </c>
      <c r="E479" s="247">
        <f>SUM(E430-E476)</f>
        <v>-320469.88000000035</v>
      </c>
    </row>
    <row r="480" spans="2:6" ht="16.5" thickBot="1">
      <c r="B480" s="248">
        <f>SUM(B395+B430-B476)</f>
        <v>32173922.100000005</v>
      </c>
      <c r="C480" s="364" t="s">
        <v>148</v>
      </c>
      <c r="E480" s="248">
        <f>SUM(E395+E430-E476)</f>
        <v>32173922.099999994</v>
      </c>
      <c r="F480" s="102">
        <f>+E480-B480</f>
        <v>0</v>
      </c>
    </row>
    <row r="481" spans="2:6" ht="16.5" thickTop="1">
      <c r="B481" s="249"/>
      <c r="C481" s="364"/>
      <c r="E481" s="249"/>
      <c r="F481" s="102">
        <f>+งบดุลบัญชี!AI5</f>
        <v>32166722.099999994</v>
      </c>
    </row>
    <row r="482" ht="15.75">
      <c r="F482" s="102">
        <f>+งบดุลบัญชี!AI4</f>
        <v>7200</v>
      </c>
    </row>
    <row r="483" spans="1:6" ht="15.75">
      <c r="A483" s="484" t="s">
        <v>370</v>
      </c>
      <c r="B483" s="484"/>
      <c r="C483" s="363" t="s">
        <v>33</v>
      </c>
      <c r="D483" s="484" t="s">
        <v>327</v>
      </c>
      <c r="E483" s="484"/>
      <c r="F483" s="102">
        <f>SUM(F481:F482)</f>
        <v>32173922.099999994</v>
      </c>
    </row>
    <row r="484" spans="1:6" ht="15.75">
      <c r="A484" s="484" t="s">
        <v>436</v>
      </c>
      <c r="B484" s="484"/>
      <c r="C484" s="363" t="s">
        <v>267</v>
      </c>
      <c r="D484" s="484" t="s">
        <v>38</v>
      </c>
      <c r="E484" s="484"/>
      <c r="F484" s="102">
        <f>+F483-E480</f>
        <v>0</v>
      </c>
    </row>
    <row r="485" spans="1:2" ht="15.75">
      <c r="A485" s="484" t="s">
        <v>437</v>
      </c>
      <c r="B485" s="484"/>
    </row>
    <row r="486" spans="1:5" ht="15.75">
      <c r="A486" s="234" t="s">
        <v>29</v>
      </c>
      <c r="D486" s="251" t="s">
        <v>140</v>
      </c>
      <c r="E486" s="241" t="s">
        <v>571</v>
      </c>
    </row>
    <row r="487" spans="1:5" ht="15.75">
      <c r="A487" s="485" t="s">
        <v>136</v>
      </c>
      <c r="B487" s="485"/>
      <c r="C487" s="485"/>
      <c r="D487" s="485"/>
      <c r="E487" s="485"/>
    </row>
    <row r="488" ht="15.75">
      <c r="E488" s="384" t="s">
        <v>531</v>
      </c>
    </row>
    <row r="489" spans="1:5" ht="15.75">
      <c r="A489" s="486" t="s">
        <v>137</v>
      </c>
      <c r="B489" s="486"/>
      <c r="C489" s="226"/>
      <c r="D489" s="226"/>
      <c r="E489" s="385" t="s">
        <v>139</v>
      </c>
    </row>
    <row r="490" spans="1:5" ht="15.75">
      <c r="A490" s="227" t="s">
        <v>16</v>
      </c>
      <c r="B490" s="227" t="s">
        <v>138</v>
      </c>
      <c r="C490" s="227" t="s">
        <v>0</v>
      </c>
      <c r="D490" s="227" t="s">
        <v>133</v>
      </c>
      <c r="E490" s="227" t="s">
        <v>138</v>
      </c>
    </row>
    <row r="491" spans="1:5" ht="15.75">
      <c r="A491" s="235" t="s">
        <v>49</v>
      </c>
      <c r="B491" s="235" t="s">
        <v>49</v>
      </c>
      <c r="C491" s="222"/>
      <c r="D491" s="222"/>
      <c r="E491" s="235" t="s">
        <v>49</v>
      </c>
    </row>
    <row r="492" spans="1:5" ht="15.75">
      <c r="A492" s="233"/>
      <c r="B492" s="242">
        <v>23064949.07</v>
      </c>
      <c r="C492" s="218" t="s">
        <v>141</v>
      </c>
      <c r="D492" s="219"/>
      <c r="E492" s="242">
        <f>+E480</f>
        <v>32173922.099999994</v>
      </c>
    </row>
    <row r="493" spans="1:5" ht="15.75">
      <c r="A493" s="233"/>
      <c r="B493" s="233"/>
      <c r="C493" s="218" t="s">
        <v>142</v>
      </c>
      <c r="D493" s="219"/>
      <c r="E493" s="233"/>
    </row>
    <row r="494" spans="1:5" ht="15.75">
      <c r="A494" s="236">
        <v>198000</v>
      </c>
      <c r="B494" s="236">
        <f>+E494+B397</f>
        <v>161425.13</v>
      </c>
      <c r="C494" s="219" t="s">
        <v>19</v>
      </c>
      <c r="D494" s="220">
        <v>411000</v>
      </c>
      <c r="E494" s="233">
        <v>74191.18</v>
      </c>
    </row>
    <row r="495" spans="1:5" ht="15.75">
      <c r="A495" s="236">
        <v>260200</v>
      </c>
      <c r="B495" s="236">
        <f aca="true" t="shared" si="20" ref="B495:B501">+E495+B398</f>
        <v>164288.2</v>
      </c>
      <c r="C495" s="219" t="s">
        <v>319</v>
      </c>
      <c r="D495" s="220">
        <v>412000</v>
      </c>
      <c r="E495" s="233">
        <v>19610</v>
      </c>
    </row>
    <row r="496" spans="1:5" ht="15.75">
      <c r="A496" s="236">
        <v>300500</v>
      </c>
      <c r="B496" s="236">
        <f t="shared" si="20"/>
        <v>134333.7</v>
      </c>
      <c r="C496" s="219" t="s">
        <v>21</v>
      </c>
      <c r="D496" s="220">
        <v>413000</v>
      </c>
      <c r="E496" s="233">
        <v>10461.79</v>
      </c>
    </row>
    <row r="497" spans="1:5" ht="15.75">
      <c r="A497" s="236">
        <v>200000</v>
      </c>
      <c r="B497" s="236">
        <f t="shared" si="20"/>
        <v>154990</v>
      </c>
      <c r="C497" s="219" t="s">
        <v>23</v>
      </c>
      <c r="D497" s="220">
        <v>414000</v>
      </c>
      <c r="E497" s="233">
        <v>24305</v>
      </c>
    </row>
    <row r="498" spans="1:5" ht="15.75">
      <c r="A498" s="236">
        <v>60000</v>
      </c>
      <c r="B498" s="236">
        <f t="shared" si="20"/>
        <v>265005</v>
      </c>
      <c r="C498" s="219" t="s">
        <v>20</v>
      </c>
      <c r="D498" s="220">
        <v>415000</v>
      </c>
      <c r="E498" s="233">
        <v>780</v>
      </c>
    </row>
    <row r="499" spans="1:5" ht="15.75">
      <c r="A499" s="236">
        <v>500</v>
      </c>
      <c r="B499" s="236">
        <f t="shared" si="20"/>
        <v>0</v>
      </c>
      <c r="C499" s="219" t="s">
        <v>121</v>
      </c>
      <c r="D499" s="220">
        <v>416000</v>
      </c>
      <c r="E499" s="233">
        <v>0</v>
      </c>
    </row>
    <row r="500" spans="1:5" ht="15.75">
      <c r="A500" s="236">
        <v>14141000</v>
      </c>
      <c r="B500" s="236">
        <f t="shared" si="20"/>
        <v>7833306.05</v>
      </c>
      <c r="C500" s="219" t="s">
        <v>50</v>
      </c>
      <c r="D500" s="220">
        <v>421000</v>
      </c>
      <c r="E500" s="233">
        <v>1259378.62</v>
      </c>
    </row>
    <row r="501" spans="1:5" ht="15.75">
      <c r="A501" s="236">
        <v>17860000</v>
      </c>
      <c r="B501" s="236">
        <f t="shared" si="20"/>
        <v>14390364</v>
      </c>
      <c r="C501" s="219" t="s">
        <v>22</v>
      </c>
      <c r="D501" s="220">
        <v>431002</v>
      </c>
      <c r="E501" s="233">
        <v>3946460</v>
      </c>
    </row>
    <row r="502" spans="1:5" ht="16.5" thickBot="1">
      <c r="A502" s="237">
        <f>SUM(A494:A501)</f>
        <v>33020200</v>
      </c>
      <c r="B502" s="237">
        <f>SUM(B494:B501)</f>
        <v>23103712.08</v>
      </c>
      <c r="C502" s="219"/>
      <c r="D502" s="220"/>
      <c r="E502" s="237">
        <f>SUM(E494:E501)</f>
        <v>5335186.59</v>
      </c>
    </row>
    <row r="503" spans="1:5" ht="16.5" thickTop="1">
      <c r="A503" s="238"/>
      <c r="B503" s="236">
        <f>+E503+B406</f>
        <v>8705701</v>
      </c>
      <c r="C503" s="219" t="s">
        <v>492</v>
      </c>
      <c r="D503" s="220">
        <v>441000</v>
      </c>
      <c r="E503" s="233">
        <v>2169570</v>
      </c>
    </row>
    <row r="504" spans="1:5" ht="15.75">
      <c r="A504" s="239"/>
      <c r="B504" s="236">
        <f aca="true" t="shared" si="21" ref="B504:B524">+E504+B407</f>
        <v>4150000</v>
      </c>
      <c r="C504" s="219" t="s">
        <v>120</v>
      </c>
      <c r="D504" s="220">
        <v>441000</v>
      </c>
      <c r="E504" s="233">
        <v>4110000</v>
      </c>
    </row>
    <row r="505" spans="1:5" ht="15.75">
      <c r="A505" s="239"/>
      <c r="B505" s="236">
        <f t="shared" si="21"/>
        <v>79360.39</v>
      </c>
      <c r="C505" s="219" t="s">
        <v>26</v>
      </c>
      <c r="D505" s="220">
        <v>230102</v>
      </c>
      <c r="E505" s="233">
        <v>56311.03</v>
      </c>
    </row>
    <row r="506" spans="1:5" ht="15.75">
      <c r="A506" s="223"/>
      <c r="B506" s="236">
        <f t="shared" si="21"/>
        <v>355.98</v>
      </c>
      <c r="C506" s="219" t="s">
        <v>143</v>
      </c>
      <c r="D506" s="220">
        <v>230105</v>
      </c>
      <c r="E506" s="233">
        <v>253.17</v>
      </c>
    </row>
    <row r="507" spans="1:5" ht="15.75">
      <c r="A507" s="230"/>
      <c r="B507" s="236">
        <f t="shared" si="21"/>
        <v>1624036</v>
      </c>
      <c r="C507" s="219" t="s">
        <v>27</v>
      </c>
      <c r="D507" s="220">
        <v>230108</v>
      </c>
      <c r="E507" s="233">
        <v>190408</v>
      </c>
    </row>
    <row r="508" spans="1:5" ht="15.75">
      <c r="A508" s="230"/>
      <c r="B508" s="236">
        <f t="shared" si="21"/>
        <v>27699.75</v>
      </c>
      <c r="C508" s="219" t="s">
        <v>316</v>
      </c>
      <c r="D508" s="220">
        <v>230109</v>
      </c>
      <c r="E508" s="233">
        <v>0</v>
      </c>
    </row>
    <row r="509" spans="1:5" ht="15.75">
      <c r="A509" s="230"/>
      <c r="B509" s="236">
        <f t="shared" si="21"/>
        <v>4965.91</v>
      </c>
      <c r="C509" s="221" t="s">
        <v>86</v>
      </c>
      <c r="D509" s="220">
        <v>230110</v>
      </c>
      <c r="E509" s="233">
        <v>50.91</v>
      </c>
    </row>
    <row r="510" spans="1:5" ht="15.75">
      <c r="A510" s="230"/>
      <c r="B510" s="236">
        <f t="shared" si="21"/>
        <v>0</v>
      </c>
      <c r="C510" s="221" t="s">
        <v>346</v>
      </c>
      <c r="D510" s="220">
        <v>230111</v>
      </c>
      <c r="E510" s="233">
        <v>0</v>
      </c>
    </row>
    <row r="511" spans="1:5" ht="15.75">
      <c r="A511" s="230"/>
      <c r="B511" s="236">
        <f t="shared" si="21"/>
        <v>13218</v>
      </c>
      <c r="C511" s="221" t="s">
        <v>373</v>
      </c>
      <c r="D511" s="220">
        <v>230112</v>
      </c>
      <c r="E511" s="233">
        <v>2632</v>
      </c>
    </row>
    <row r="512" spans="1:5" ht="15.75">
      <c r="A512" s="230"/>
      <c r="B512" s="236">
        <f t="shared" si="21"/>
        <v>23450</v>
      </c>
      <c r="C512" s="221" t="s">
        <v>461</v>
      </c>
      <c r="D512" s="220">
        <v>230113</v>
      </c>
      <c r="E512" s="233">
        <v>9800</v>
      </c>
    </row>
    <row r="513" spans="1:5" ht="15.75">
      <c r="A513" s="230"/>
      <c r="B513" s="236">
        <f t="shared" si="21"/>
        <v>11880</v>
      </c>
      <c r="C513" s="221" t="s">
        <v>25</v>
      </c>
      <c r="D513" s="220">
        <v>230114</v>
      </c>
      <c r="E513" s="233">
        <v>11880</v>
      </c>
    </row>
    <row r="514" spans="1:5" ht="15.75">
      <c r="A514" s="230"/>
      <c r="B514" s="236">
        <f t="shared" si="21"/>
        <v>20700</v>
      </c>
      <c r="C514" s="221" t="s">
        <v>318</v>
      </c>
      <c r="D514" s="220">
        <v>230115</v>
      </c>
      <c r="E514" s="233">
        <v>0</v>
      </c>
    </row>
    <row r="515" spans="1:5" ht="15.75">
      <c r="A515" s="230"/>
      <c r="B515" s="236">
        <f t="shared" si="21"/>
        <v>1500</v>
      </c>
      <c r="C515" s="221" t="s">
        <v>124</v>
      </c>
      <c r="D515" s="220">
        <v>230116</v>
      </c>
      <c r="E515" s="233">
        <v>0</v>
      </c>
    </row>
    <row r="516" spans="1:5" ht="15.75">
      <c r="A516" s="230"/>
      <c r="B516" s="236">
        <f t="shared" si="21"/>
        <v>46.01</v>
      </c>
      <c r="C516" s="219" t="s">
        <v>56</v>
      </c>
      <c r="D516" s="220">
        <v>110602</v>
      </c>
      <c r="E516" s="233"/>
    </row>
    <row r="517" spans="2:5" ht="15.75">
      <c r="B517" s="236">
        <f t="shared" si="21"/>
        <v>0</v>
      </c>
      <c r="C517" s="219" t="s">
        <v>59</v>
      </c>
      <c r="D517" s="220">
        <v>110604</v>
      </c>
      <c r="E517" s="233">
        <v>0</v>
      </c>
    </row>
    <row r="518" spans="2:5" ht="15.75">
      <c r="B518" s="236">
        <f t="shared" si="21"/>
        <v>0</v>
      </c>
      <c r="C518" s="219" t="s">
        <v>126</v>
      </c>
      <c r="D518" s="220">
        <v>110605</v>
      </c>
      <c r="E518" s="233">
        <v>0</v>
      </c>
    </row>
    <row r="519" spans="2:5" ht="15.75">
      <c r="B519" s="236">
        <f t="shared" si="21"/>
        <v>0</v>
      </c>
      <c r="C519" s="219" t="s">
        <v>135</v>
      </c>
      <c r="D519" s="220">
        <v>110606</v>
      </c>
      <c r="E519" s="233">
        <v>0</v>
      </c>
    </row>
    <row r="520" spans="2:5" ht="15.75">
      <c r="B520" s="236">
        <f t="shared" si="21"/>
        <v>311.35</v>
      </c>
      <c r="C520" s="221" t="s">
        <v>343</v>
      </c>
      <c r="D520" s="220">
        <v>110605</v>
      </c>
      <c r="E520" s="233">
        <v>311.35</v>
      </c>
    </row>
    <row r="521" spans="2:5" ht="15.75">
      <c r="B521" s="236">
        <f t="shared" si="21"/>
        <v>1200</v>
      </c>
      <c r="C521" s="221" t="s">
        <v>474</v>
      </c>
      <c r="D521" s="220">
        <v>110606</v>
      </c>
      <c r="E521" s="233">
        <v>0</v>
      </c>
    </row>
    <row r="522" spans="2:5" ht="15.75">
      <c r="B522" s="236">
        <f t="shared" si="21"/>
        <v>0</v>
      </c>
      <c r="C522" s="221" t="s">
        <v>392</v>
      </c>
      <c r="D522" s="220">
        <v>110609</v>
      </c>
      <c r="E522" s="233">
        <v>0</v>
      </c>
    </row>
    <row r="523" spans="2:5" ht="15.75">
      <c r="B523" s="236">
        <f t="shared" si="21"/>
        <v>0</v>
      </c>
      <c r="C523" s="221" t="s">
        <v>372</v>
      </c>
      <c r="D523" s="220">
        <v>522000</v>
      </c>
      <c r="E523" s="233">
        <v>0</v>
      </c>
    </row>
    <row r="524" spans="2:5" ht="15.75">
      <c r="B524" s="236">
        <f t="shared" si="21"/>
        <v>10.8</v>
      </c>
      <c r="C524" s="221" t="s">
        <v>289</v>
      </c>
      <c r="D524" s="220">
        <v>230200</v>
      </c>
      <c r="E524" s="233"/>
    </row>
    <row r="525" spans="2:5" ht="15.75">
      <c r="B525" s="233"/>
      <c r="C525" s="221"/>
      <c r="D525" s="222"/>
      <c r="E525" s="233"/>
    </row>
    <row r="526" spans="2:5" ht="15.75">
      <c r="B526" s="243">
        <f>SUM(B503:B525)</f>
        <v>14664435.190000001</v>
      </c>
      <c r="C526" s="221"/>
      <c r="D526" s="223"/>
      <c r="E526" s="243">
        <f>SUM(E503:E525)</f>
        <v>6551216.46</v>
      </c>
    </row>
    <row r="527" spans="2:5" ht="16.5" thickBot="1">
      <c r="B527" s="237">
        <f>SUM(B526+B502)</f>
        <v>37768147.269999996</v>
      </c>
      <c r="C527" s="224" t="s">
        <v>32</v>
      </c>
      <c r="D527" s="223"/>
      <c r="E527" s="237">
        <f>SUM(E502,E526)</f>
        <v>11886403.05</v>
      </c>
    </row>
    <row r="528" ht="16.5" thickTop="1"/>
    <row r="532" spans="1:5" ht="15.75">
      <c r="A532" s="486" t="s">
        <v>137</v>
      </c>
      <c r="B532" s="486"/>
      <c r="C532" s="226"/>
      <c r="D532" s="226"/>
      <c r="E532" s="385" t="s">
        <v>139</v>
      </c>
    </row>
    <row r="533" spans="1:5" ht="15.75">
      <c r="A533" s="227" t="s">
        <v>16</v>
      </c>
      <c r="B533" s="227" t="s">
        <v>138</v>
      </c>
      <c r="C533" s="227" t="s">
        <v>0</v>
      </c>
      <c r="D533" s="227" t="s">
        <v>133</v>
      </c>
      <c r="E533" s="227" t="s">
        <v>138</v>
      </c>
    </row>
    <row r="534" spans="1:5" ht="15.75">
      <c r="A534" s="235" t="s">
        <v>49</v>
      </c>
      <c r="B534" s="235" t="s">
        <v>49</v>
      </c>
      <c r="C534" s="222"/>
      <c r="D534" s="222"/>
      <c r="E534" s="235" t="s">
        <v>49</v>
      </c>
    </row>
    <row r="535" spans="1:5" ht="15.75">
      <c r="A535" s="233"/>
      <c r="B535" s="233"/>
      <c r="C535" s="218" t="s">
        <v>30</v>
      </c>
      <c r="D535" s="219"/>
      <c r="E535" s="244"/>
    </row>
    <row r="536" spans="1:5" ht="17.25">
      <c r="A536" s="233">
        <f>656778+310000+108000+120000+303204+131216</f>
        <v>1629198</v>
      </c>
      <c r="B536" s="236">
        <f>+E536+B439</f>
        <v>239158</v>
      </c>
      <c r="C536" s="219" t="s">
        <v>11</v>
      </c>
      <c r="D536" s="228">
        <v>510000</v>
      </c>
      <c r="E536" s="245">
        <v>20671</v>
      </c>
    </row>
    <row r="537" spans="1:5" ht="17.25">
      <c r="A537" s="233">
        <f>120000+1490400+198720+695520+120000</f>
        <v>2624640</v>
      </c>
      <c r="B537" s="236">
        <f aca="true" t="shared" si="22" ref="B537:B548">+E537+B440</f>
        <v>1307334</v>
      </c>
      <c r="C537" s="219" t="s">
        <v>144</v>
      </c>
      <c r="D537" s="228">
        <v>521000</v>
      </c>
      <c r="E537" s="246">
        <v>218720</v>
      </c>
    </row>
    <row r="538" spans="1:5" ht="17.25">
      <c r="A538" s="233">
        <f>141600+5095000+158000</f>
        <v>5394600</v>
      </c>
      <c r="B538" s="236">
        <f t="shared" si="22"/>
        <v>2148077.23</v>
      </c>
      <c r="C538" s="219" t="s">
        <v>145</v>
      </c>
      <c r="D538" s="228">
        <v>522000</v>
      </c>
      <c r="E538" s="246">
        <v>360385</v>
      </c>
    </row>
    <row r="539" spans="1:5" ht="17.25">
      <c r="A539" s="233">
        <f>38000+326000</f>
        <v>364000</v>
      </c>
      <c r="B539" s="236">
        <f t="shared" si="22"/>
        <v>206160</v>
      </c>
      <c r="C539" s="219" t="s">
        <v>3</v>
      </c>
      <c r="D539" s="228">
        <v>220400</v>
      </c>
      <c r="E539" s="246">
        <v>30960</v>
      </c>
    </row>
    <row r="540" spans="1:5" ht="17.25">
      <c r="A540" s="233">
        <f>446000+2811000</f>
        <v>3257000</v>
      </c>
      <c r="B540" s="236">
        <f t="shared" si="22"/>
        <v>1215415</v>
      </c>
      <c r="C540" s="219" t="s">
        <v>4</v>
      </c>
      <c r="D540" s="228">
        <v>220600</v>
      </c>
      <c r="E540" s="246">
        <v>246100</v>
      </c>
    </row>
    <row r="541" spans="1:5" ht="17.25">
      <c r="A541" s="233">
        <f>82000+24000+70500+366000+15000</f>
        <v>557500</v>
      </c>
      <c r="B541" s="236">
        <f t="shared" si="22"/>
        <v>169711</v>
      </c>
      <c r="C541" s="219" t="s">
        <v>5</v>
      </c>
      <c r="D541" s="228">
        <v>531000</v>
      </c>
      <c r="E541" s="246">
        <v>40000</v>
      </c>
    </row>
    <row r="542" spans="1:5" ht="17.25">
      <c r="A542" s="233">
        <f>1873000+40000+30000+30000+40000+20000+30000+20000+50000+30000+30000+90000+20000+50000+150000+1094250+10000+100000+550000+20000+200000+150000+165000+10000+30000+10000+10000+2000+120000</f>
        <v>4974250</v>
      </c>
      <c r="B542" s="236">
        <f t="shared" si="22"/>
        <v>1633748.81</v>
      </c>
      <c r="C542" s="219" t="s">
        <v>6</v>
      </c>
      <c r="D542" s="228">
        <v>532000</v>
      </c>
      <c r="E542" s="246">
        <v>167641.25</v>
      </c>
    </row>
    <row r="543" spans="1:5" ht="17.25">
      <c r="A543" s="233">
        <f>150000+160000+90000+980000+100000+20000+50000+2061080+100000+210000</f>
        <v>3921080</v>
      </c>
      <c r="B543" s="236">
        <f t="shared" si="22"/>
        <v>666262.32</v>
      </c>
      <c r="C543" s="219" t="s">
        <v>7</v>
      </c>
      <c r="D543" s="228">
        <v>533000</v>
      </c>
      <c r="E543" s="246">
        <v>136718.96</v>
      </c>
    </row>
    <row r="544" spans="1:5" ht="17.25">
      <c r="A544" s="233">
        <f>110000+770000+40000+10000</f>
        <v>930000</v>
      </c>
      <c r="B544" s="236">
        <f t="shared" si="22"/>
        <v>538089.3899999999</v>
      </c>
      <c r="C544" s="219" t="s">
        <v>8</v>
      </c>
      <c r="D544" s="228">
        <v>534000</v>
      </c>
      <c r="E544" s="246">
        <v>93680.32</v>
      </c>
    </row>
    <row r="545" spans="1:5" ht="17.25">
      <c r="A545" s="233">
        <f>100000+40500+13000+7000+21000+25000+8500+8000+132000+100000+59000+38000+38000+10000+25000</f>
        <v>625000</v>
      </c>
      <c r="B545" s="236">
        <f t="shared" si="22"/>
        <v>330730</v>
      </c>
      <c r="C545" s="219" t="s">
        <v>9</v>
      </c>
      <c r="D545" s="228">
        <v>541000</v>
      </c>
      <c r="E545" s="246">
        <v>96200</v>
      </c>
    </row>
    <row r="546" spans="1:5" ht="17.25">
      <c r="A546" s="233">
        <f>88700+239000+179300+132000+132000+71000+132000+147000+132000+141000+349000+177000+362000+370000+53600+145000+185000+110000+287000+300000+100000+40000+640000</f>
        <v>4512600</v>
      </c>
      <c r="B546" s="236">
        <f t="shared" si="22"/>
        <v>257750</v>
      </c>
      <c r="C546" s="219" t="s">
        <v>10</v>
      </c>
      <c r="D546" s="228">
        <v>542000</v>
      </c>
      <c r="E546" s="246">
        <v>133900</v>
      </c>
    </row>
    <row r="547" spans="1:5" ht="17.25">
      <c r="A547" s="233">
        <f>60000+268000+3877332</f>
        <v>4205332</v>
      </c>
      <c r="B547" s="236">
        <f t="shared" si="22"/>
        <v>2237000</v>
      </c>
      <c r="C547" s="219" t="s">
        <v>13</v>
      </c>
      <c r="D547" s="220">
        <v>560000</v>
      </c>
      <c r="E547" s="246">
        <v>268000</v>
      </c>
    </row>
    <row r="548" spans="1:5" ht="15.75">
      <c r="A548" s="233">
        <v>25000</v>
      </c>
      <c r="B548" s="236">
        <f t="shared" si="22"/>
        <v>0</v>
      </c>
      <c r="C548" s="219" t="s">
        <v>12</v>
      </c>
      <c r="D548" s="228">
        <v>550000</v>
      </c>
      <c r="E548" s="250">
        <v>0</v>
      </c>
    </row>
    <row r="549" spans="1:5" ht="16.5" thickBot="1">
      <c r="A549" s="237">
        <f>SUM(A536:A548)</f>
        <v>33020200</v>
      </c>
      <c r="B549" s="237">
        <f>SUM(B536:B548)</f>
        <v>10949435.75</v>
      </c>
      <c r="C549" s="224"/>
      <c r="D549" s="219"/>
      <c r="E549" s="237">
        <f>SUM(E536:E548)</f>
        <v>1812976.53</v>
      </c>
    </row>
    <row r="550" spans="1:5" ht="16.5" thickTop="1">
      <c r="A550" s="238"/>
      <c r="B550" s="236">
        <f>+E550+B453</f>
        <v>2038990</v>
      </c>
      <c r="C550" s="219" t="s">
        <v>493</v>
      </c>
      <c r="D550" s="228">
        <v>441000</v>
      </c>
      <c r="E550" s="233">
        <f>3080+69160+61600+1103000</f>
        <v>1236840</v>
      </c>
    </row>
    <row r="551" spans="1:5" ht="15.75">
      <c r="A551" s="239"/>
      <c r="B551" s="236">
        <f>+E551</f>
        <v>4110000</v>
      </c>
      <c r="C551" s="219" t="s">
        <v>361</v>
      </c>
      <c r="D551" s="228">
        <v>441000</v>
      </c>
      <c r="E551" s="233">
        <v>4110000</v>
      </c>
    </row>
    <row r="552" spans="1:5" ht="15.75">
      <c r="A552" s="239"/>
      <c r="B552" s="236">
        <f aca="true" t="shared" si="23" ref="B552:B566">+E552+B454</f>
        <v>0</v>
      </c>
      <c r="C552" s="219" t="s">
        <v>25</v>
      </c>
      <c r="D552" s="228">
        <v>412210</v>
      </c>
      <c r="E552" s="233">
        <v>0</v>
      </c>
    </row>
    <row r="553" spans="1:5" ht="15.75">
      <c r="A553" s="239"/>
      <c r="B553" s="236">
        <f t="shared" si="23"/>
        <v>0</v>
      </c>
      <c r="C553" s="219" t="s">
        <v>134</v>
      </c>
      <c r="D553" s="220">
        <v>110202</v>
      </c>
      <c r="E553" s="233">
        <v>0</v>
      </c>
    </row>
    <row r="554" spans="1:5" ht="15.75">
      <c r="A554" s="239"/>
      <c r="B554" s="236">
        <f t="shared" si="23"/>
        <v>118388</v>
      </c>
      <c r="C554" s="219" t="s">
        <v>126</v>
      </c>
      <c r="D554" s="228">
        <v>110605</v>
      </c>
      <c r="E554" s="233">
        <v>39328</v>
      </c>
    </row>
    <row r="555" spans="1:5" ht="15.75">
      <c r="A555" s="239"/>
      <c r="B555" s="236">
        <f t="shared" si="23"/>
        <v>2281400</v>
      </c>
      <c r="C555" s="219" t="s">
        <v>335</v>
      </c>
      <c r="D555" s="228">
        <v>110609</v>
      </c>
      <c r="E555" s="233"/>
    </row>
    <row r="556" spans="1:6" ht="15.75">
      <c r="A556" s="239"/>
      <c r="B556" s="236">
        <f t="shared" si="23"/>
        <v>3125461</v>
      </c>
      <c r="C556" s="219" t="s">
        <v>135</v>
      </c>
      <c r="D556" s="220">
        <v>110606</v>
      </c>
      <c r="E556" s="233">
        <v>929800</v>
      </c>
      <c r="F556" s="102">
        <f>+B550+B555+B556</f>
        <v>7445851</v>
      </c>
    </row>
    <row r="557" spans="1:6" ht="15.75">
      <c r="A557" s="239"/>
      <c r="B557" s="236">
        <f t="shared" si="23"/>
        <v>49138.4</v>
      </c>
      <c r="C557" s="219" t="s">
        <v>26</v>
      </c>
      <c r="D557" s="220">
        <v>230102</v>
      </c>
      <c r="E557" s="233">
        <v>1394.01</v>
      </c>
      <c r="F557" s="102">
        <f>+F556-งบดุลบัญชี!AP174</f>
        <v>1115200</v>
      </c>
    </row>
    <row r="558" spans="1:6" ht="15.75">
      <c r="A558" s="239"/>
      <c r="B558" s="236">
        <f t="shared" si="23"/>
        <v>836627</v>
      </c>
      <c r="C558" s="219" t="s">
        <v>323</v>
      </c>
      <c r="D558" s="220">
        <v>230108</v>
      </c>
      <c r="E558" s="233">
        <v>245000</v>
      </c>
      <c r="F558" s="102">
        <f>+งบดุลบัญชี!AO152+งบดุลบัญชี!AO158</f>
        <v>1143000</v>
      </c>
    </row>
    <row r="559" spans="1:6" ht="15.75">
      <c r="A559" s="239"/>
      <c r="B559" s="236">
        <f t="shared" si="23"/>
        <v>0</v>
      </c>
      <c r="C559" s="219" t="s">
        <v>86</v>
      </c>
      <c r="D559" s="229">
        <v>230110</v>
      </c>
      <c r="E559" s="233">
        <v>0</v>
      </c>
      <c r="F559" s="102">
        <f>+F558-F557</f>
        <v>27800</v>
      </c>
    </row>
    <row r="560" spans="1:5" ht="15.75">
      <c r="A560" s="239"/>
      <c r="B560" s="236">
        <f t="shared" si="23"/>
        <v>27699.75</v>
      </c>
      <c r="C560" s="219" t="s">
        <v>331</v>
      </c>
      <c r="D560" s="229">
        <v>230109</v>
      </c>
      <c r="E560" s="233">
        <v>0</v>
      </c>
    </row>
    <row r="561" spans="1:5" ht="15.75" hidden="1">
      <c r="A561" s="239"/>
      <c r="B561" s="236">
        <f t="shared" si="23"/>
        <v>0</v>
      </c>
      <c r="C561" s="219" t="s">
        <v>346</v>
      </c>
      <c r="D561" s="229">
        <v>230111</v>
      </c>
      <c r="E561" s="233">
        <v>0</v>
      </c>
    </row>
    <row r="562" spans="1:5" ht="15.75">
      <c r="A562" s="239"/>
      <c r="B562" s="236">
        <f t="shared" si="23"/>
        <v>12898</v>
      </c>
      <c r="C562" s="219" t="s">
        <v>373</v>
      </c>
      <c r="D562" s="229">
        <v>230112</v>
      </c>
      <c r="E562" s="233">
        <v>2312</v>
      </c>
    </row>
    <row r="563" spans="1:5" ht="15.75" hidden="1">
      <c r="A563" s="239"/>
      <c r="B563" s="236">
        <f t="shared" si="23"/>
        <v>0</v>
      </c>
      <c r="C563" s="221" t="s">
        <v>461</v>
      </c>
      <c r="D563" s="220">
        <v>230113</v>
      </c>
      <c r="E563" s="233">
        <v>0</v>
      </c>
    </row>
    <row r="564" spans="1:5" ht="15.75">
      <c r="A564" s="239"/>
      <c r="B564" s="236">
        <f t="shared" si="23"/>
        <v>4592</v>
      </c>
      <c r="C564" s="221" t="s">
        <v>25</v>
      </c>
      <c r="D564" s="220">
        <v>230114</v>
      </c>
      <c r="E564" s="233">
        <v>0</v>
      </c>
    </row>
    <row r="565" spans="1:5" ht="15.75">
      <c r="A565" s="239"/>
      <c r="B565" s="236">
        <f t="shared" si="23"/>
        <v>20700</v>
      </c>
      <c r="C565" s="221" t="s">
        <v>318</v>
      </c>
      <c r="D565" s="220">
        <v>230115</v>
      </c>
      <c r="E565" s="233">
        <v>0</v>
      </c>
    </row>
    <row r="566" spans="1:5" ht="15.75">
      <c r="A566" s="239"/>
      <c r="B566" s="236">
        <f t="shared" si="23"/>
        <v>1500</v>
      </c>
      <c r="C566" s="221" t="s">
        <v>124</v>
      </c>
      <c r="D566" s="220">
        <v>230116</v>
      </c>
      <c r="E566" s="233">
        <v>0</v>
      </c>
    </row>
    <row r="567" spans="1:5" ht="15.75" hidden="1">
      <c r="A567" s="239"/>
      <c r="B567" s="236">
        <f>+E567+B469</f>
        <v>0</v>
      </c>
      <c r="C567" s="219" t="s">
        <v>58</v>
      </c>
      <c r="D567" s="229">
        <v>210500</v>
      </c>
      <c r="E567" s="233">
        <v>0</v>
      </c>
    </row>
    <row r="568" spans="1:5" ht="15.75">
      <c r="A568" s="239"/>
      <c r="B568" s="236">
        <f>+E568+B470</f>
        <v>1538544</v>
      </c>
      <c r="C568" s="219" t="s">
        <v>14</v>
      </c>
      <c r="D568" s="229">
        <v>210400</v>
      </c>
      <c r="E568" s="233">
        <v>486300</v>
      </c>
    </row>
    <row r="569" spans="1:5" ht="15.75">
      <c r="A569" s="239"/>
      <c r="B569" s="236">
        <f>+E569+B471</f>
        <v>521347.83</v>
      </c>
      <c r="C569" s="219" t="s">
        <v>15</v>
      </c>
      <c r="D569" s="220">
        <v>300000</v>
      </c>
      <c r="E569" s="233">
        <v>0</v>
      </c>
    </row>
    <row r="570" spans="1:5" ht="15.75">
      <c r="A570" s="239"/>
      <c r="B570" s="236">
        <f>+E570+B472</f>
        <v>0</v>
      </c>
      <c r="C570" s="230" t="s">
        <v>348</v>
      </c>
      <c r="D570" s="220">
        <v>441000</v>
      </c>
      <c r="E570" s="233">
        <v>0</v>
      </c>
    </row>
    <row r="571" spans="1:5" ht="15.75">
      <c r="A571" s="239"/>
      <c r="B571" s="236">
        <f>+E571+B473</f>
        <v>0</v>
      </c>
      <c r="C571" s="230" t="s">
        <v>394</v>
      </c>
      <c r="D571" s="220">
        <v>441000</v>
      </c>
      <c r="E571" s="233">
        <v>0</v>
      </c>
    </row>
    <row r="572" spans="1:5" ht="15.75">
      <c r="A572" s="239"/>
      <c r="B572" s="236"/>
      <c r="C572" s="230"/>
      <c r="D572" s="231"/>
      <c r="E572" s="233">
        <v>0</v>
      </c>
    </row>
    <row r="573" spans="1:5" ht="15.75">
      <c r="A573" s="239"/>
      <c r="B573" s="243">
        <f>SUM(B550:B572)</f>
        <v>14687285.98</v>
      </c>
      <c r="C573" s="230"/>
      <c r="D573" s="223"/>
      <c r="E573" s="243">
        <f>SUM(E550:E572)</f>
        <v>7050974.01</v>
      </c>
    </row>
    <row r="574" spans="1:5" ht="16.5" thickBot="1">
      <c r="A574" s="240"/>
      <c r="B574" s="237">
        <f>SUM(B573,B549)</f>
        <v>25636721.73</v>
      </c>
      <c r="C574" s="232" t="s">
        <v>31</v>
      </c>
      <c r="D574" s="223"/>
      <c r="E574" s="237">
        <f>SUM(E573,E549)</f>
        <v>8863950.54</v>
      </c>
    </row>
    <row r="575" spans="2:5" ht="16.5" thickTop="1">
      <c r="B575" s="219"/>
      <c r="C575" s="384" t="s">
        <v>146</v>
      </c>
      <c r="D575" s="223"/>
      <c r="E575" s="219"/>
    </row>
    <row r="576" spans="2:5" ht="15.75">
      <c r="B576" s="247"/>
      <c r="C576" s="384" t="s">
        <v>149</v>
      </c>
      <c r="D576" s="223"/>
      <c r="E576" s="247"/>
    </row>
    <row r="577" spans="2:5" ht="15.75">
      <c r="B577" s="247">
        <f>SUM(B527-B574)</f>
        <v>12131425.539999995</v>
      </c>
      <c r="C577" s="384" t="s">
        <v>147</v>
      </c>
      <c r="E577" s="247">
        <f>SUM(E527-E574)</f>
        <v>3022452.5100000016</v>
      </c>
    </row>
    <row r="578" spans="2:6" ht="16.5" thickBot="1">
      <c r="B578" s="248">
        <f>SUM(B492+B527-B574)</f>
        <v>35196374.61</v>
      </c>
      <c r="C578" s="384" t="s">
        <v>148</v>
      </c>
      <c r="E578" s="248">
        <f>SUM(E492+E527-E574)</f>
        <v>35196374.60999999</v>
      </c>
      <c r="F578" s="102">
        <f>+งบดุลบัญชี!AO5</f>
        <v>35196374.60999999</v>
      </c>
    </row>
    <row r="579" spans="2:5" ht="16.5" thickTop="1">
      <c r="B579" s="249"/>
      <c r="C579" s="384"/>
      <c r="E579" s="249"/>
    </row>
    <row r="581" spans="1:5" ht="15.75">
      <c r="A581" s="484" t="s">
        <v>370</v>
      </c>
      <c r="B581" s="484"/>
      <c r="C581" s="383" t="s">
        <v>33</v>
      </c>
      <c r="D581" s="484" t="s">
        <v>327</v>
      </c>
      <c r="E581" s="484"/>
    </row>
    <row r="582" spans="1:5" ht="15.75">
      <c r="A582" s="484" t="s">
        <v>436</v>
      </c>
      <c r="B582" s="484"/>
      <c r="C582" s="383" t="s">
        <v>267</v>
      </c>
      <c r="D582" s="484" t="s">
        <v>38</v>
      </c>
      <c r="E582" s="484"/>
    </row>
    <row r="583" spans="1:2" ht="15.75">
      <c r="A583" s="484" t="s">
        <v>437</v>
      </c>
      <c r="B583" s="484"/>
    </row>
    <row r="584" spans="1:5" ht="15.75">
      <c r="A584" s="234" t="s">
        <v>29</v>
      </c>
      <c r="D584" s="251" t="s">
        <v>140</v>
      </c>
      <c r="E584" s="241" t="s">
        <v>582</v>
      </c>
    </row>
    <row r="585" spans="1:5" ht="15.75">
      <c r="A585" s="485" t="s">
        <v>136</v>
      </c>
      <c r="B585" s="485"/>
      <c r="C585" s="485"/>
      <c r="D585" s="485"/>
      <c r="E585" s="485"/>
    </row>
    <row r="586" ht="15.75">
      <c r="E586" s="400" t="s">
        <v>531</v>
      </c>
    </row>
    <row r="587" spans="1:5" ht="15.75">
      <c r="A587" s="486" t="s">
        <v>137</v>
      </c>
      <c r="B587" s="486"/>
      <c r="C587" s="226"/>
      <c r="D587" s="226"/>
      <c r="E587" s="401" t="s">
        <v>139</v>
      </c>
    </row>
    <row r="588" spans="1:5" ht="15.75">
      <c r="A588" s="227" t="s">
        <v>16</v>
      </c>
      <c r="B588" s="227" t="s">
        <v>138</v>
      </c>
      <c r="C588" s="227" t="s">
        <v>0</v>
      </c>
      <c r="D588" s="227" t="s">
        <v>133</v>
      </c>
      <c r="E588" s="227" t="s">
        <v>138</v>
      </c>
    </row>
    <row r="589" spans="1:5" ht="15.75">
      <c r="A589" s="235" t="s">
        <v>49</v>
      </c>
      <c r="B589" s="235" t="s">
        <v>49</v>
      </c>
      <c r="C589" s="222"/>
      <c r="D589" s="222"/>
      <c r="E589" s="235" t="s">
        <v>49</v>
      </c>
    </row>
    <row r="590" spans="1:5" ht="15.75">
      <c r="A590" s="233"/>
      <c r="B590" s="242">
        <v>23064949.07</v>
      </c>
      <c r="C590" s="218" t="s">
        <v>141</v>
      </c>
      <c r="D590" s="219"/>
      <c r="E590" s="242">
        <f>+E578</f>
        <v>35196374.60999999</v>
      </c>
    </row>
    <row r="591" spans="1:5" ht="15.75">
      <c r="A591" s="233"/>
      <c r="B591" s="233"/>
      <c r="C591" s="218" t="s">
        <v>142</v>
      </c>
      <c r="D591" s="219"/>
      <c r="E591" s="233"/>
    </row>
    <row r="592" spans="1:5" ht="15.75">
      <c r="A592" s="236">
        <v>198000</v>
      </c>
      <c r="B592" s="236">
        <f>+E592+B494</f>
        <v>171806.46</v>
      </c>
      <c r="C592" s="219" t="s">
        <v>19</v>
      </c>
      <c r="D592" s="220">
        <v>411000</v>
      </c>
      <c r="E592" s="233">
        <v>10381.33</v>
      </c>
    </row>
    <row r="593" spans="1:5" ht="15.75">
      <c r="A593" s="236">
        <v>260200</v>
      </c>
      <c r="B593" s="236">
        <f aca="true" t="shared" si="24" ref="B593:B599">+E593+B495</f>
        <v>180528.2</v>
      </c>
      <c r="C593" s="219" t="s">
        <v>319</v>
      </c>
      <c r="D593" s="220">
        <v>412000</v>
      </c>
      <c r="E593" s="233">
        <v>16240</v>
      </c>
    </row>
    <row r="594" spans="1:5" ht="15.75">
      <c r="A594" s="236">
        <v>300500</v>
      </c>
      <c r="B594" s="236">
        <f t="shared" si="24"/>
        <v>134333.7</v>
      </c>
      <c r="C594" s="219" t="s">
        <v>21</v>
      </c>
      <c r="D594" s="220">
        <v>413000</v>
      </c>
      <c r="E594" s="233">
        <v>0</v>
      </c>
    </row>
    <row r="595" spans="1:5" ht="15.75">
      <c r="A595" s="236">
        <v>200000</v>
      </c>
      <c r="B595" s="236">
        <f t="shared" si="24"/>
        <v>175985</v>
      </c>
      <c r="C595" s="219" t="s">
        <v>23</v>
      </c>
      <c r="D595" s="220">
        <v>414000</v>
      </c>
      <c r="E595" s="233">
        <v>20995</v>
      </c>
    </row>
    <row r="596" spans="1:5" ht="15.75">
      <c r="A596" s="236">
        <v>60000</v>
      </c>
      <c r="B596" s="236">
        <f t="shared" si="24"/>
        <v>265525</v>
      </c>
      <c r="C596" s="219" t="s">
        <v>20</v>
      </c>
      <c r="D596" s="220">
        <v>415000</v>
      </c>
      <c r="E596" s="233">
        <v>520</v>
      </c>
    </row>
    <row r="597" spans="1:5" ht="15.75">
      <c r="A597" s="236">
        <v>500</v>
      </c>
      <c r="B597" s="236">
        <f t="shared" si="24"/>
        <v>144080</v>
      </c>
      <c r="C597" s="219" t="s">
        <v>121</v>
      </c>
      <c r="D597" s="220">
        <v>416000</v>
      </c>
      <c r="E597" s="233">
        <v>144080</v>
      </c>
    </row>
    <row r="598" spans="1:5" ht="15.75">
      <c r="A598" s="236">
        <v>14141000</v>
      </c>
      <c r="B598" s="236">
        <f t="shared" si="24"/>
        <v>9264559.219999999</v>
      </c>
      <c r="C598" s="219" t="s">
        <v>50</v>
      </c>
      <c r="D598" s="220">
        <v>421000</v>
      </c>
      <c r="E598" s="233">
        <v>1431253.17</v>
      </c>
    </row>
    <row r="599" spans="1:5" ht="15.75">
      <c r="A599" s="236">
        <v>17860000</v>
      </c>
      <c r="B599" s="236">
        <f t="shared" si="24"/>
        <v>16094634</v>
      </c>
      <c r="C599" s="219" t="s">
        <v>22</v>
      </c>
      <c r="D599" s="220">
        <v>431002</v>
      </c>
      <c r="E599" s="233">
        <v>1704270</v>
      </c>
    </row>
    <row r="600" spans="1:5" ht="16.5" thickBot="1">
      <c r="A600" s="237">
        <f>SUM(A592:A599)</f>
        <v>33020200</v>
      </c>
      <c r="B600" s="237">
        <f>SUM(B592:B599)</f>
        <v>26431451.58</v>
      </c>
      <c r="C600" s="219"/>
      <c r="D600" s="220"/>
      <c r="E600" s="237">
        <f>SUM(E592:E599)</f>
        <v>3327739.5</v>
      </c>
    </row>
    <row r="601" spans="1:6" ht="16.5" thickTop="1">
      <c r="A601" s="238"/>
      <c r="B601" s="236">
        <f>+E601+B503</f>
        <v>9218855</v>
      </c>
      <c r="C601" s="219" t="s">
        <v>492</v>
      </c>
      <c r="D601" s="220">
        <v>441000</v>
      </c>
      <c r="E601" s="233">
        <v>513154</v>
      </c>
      <c r="F601" s="102">
        <f>SUM(E600:E601)</f>
        <v>3840893.5</v>
      </c>
    </row>
    <row r="602" spans="1:5" ht="15.75">
      <c r="A602" s="239"/>
      <c r="B602" s="236">
        <f>+E602+B504</f>
        <v>4150000</v>
      </c>
      <c r="C602" s="219" t="s">
        <v>120</v>
      </c>
      <c r="D602" s="220">
        <v>441000</v>
      </c>
      <c r="E602" s="233">
        <v>0</v>
      </c>
    </row>
    <row r="603" spans="1:5" ht="15.75">
      <c r="A603" s="239"/>
      <c r="B603" s="236">
        <f>+E603</f>
        <v>5436000</v>
      </c>
      <c r="C603" s="219" t="s">
        <v>583</v>
      </c>
      <c r="D603" s="220">
        <v>220101</v>
      </c>
      <c r="E603" s="233">
        <v>5436000</v>
      </c>
    </row>
    <row r="604" spans="1:5" ht="15.75">
      <c r="A604" s="239"/>
      <c r="B604" s="236">
        <f>+E604+B505</f>
        <v>153787.44</v>
      </c>
      <c r="C604" s="219" t="s">
        <v>26</v>
      </c>
      <c r="D604" s="220">
        <v>230102</v>
      </c>
      <c r="E604" s="233">
        <v>74427.05</v>
      </c>
    </row>
    <row r="605" spans="1:5" ht="15.75">
      <c r="A605" s="223"/>
      <c r="B605" s="236">
        <f aca="true" t="shared" si="25" ref="B605:B623">+E605+B506</f>
        <v>479.61</v>
      </c>
      <c r="C605" s="219" t="s">
        <v>143</v>
      </c>
      <c r="D605" s="220">
        <v>230105</v>
      </c>
      <c r="E605" s="233">
        <v>123.63</v>
      </c>
    </row>
    <row r="606" spans="1:5" ht="15.75">
      <c r="A606" s="230"/>
      <c r="B606" s="236">
        <f t="shared" si="25"/>
        <v>1836286</v>
      </c>
      <c r="C606" s="219" t="s">
        <v>27</v>
      </c>
      <c r="D606" s="220">
        <v>230108</v>
      </c>
      <c r="E606" s="233">
        <v>212250</v>
      </c>
    </row>
    <row r="607" spans="1:5" ht="15.75">
      <c r="A607" s="230"/>
      <c r="B607" s="236">
        <f t="shared" si="25"/>
        <v>27699.75</v>
      </c>
      <c r="C607" s="219" t="s">
        <v>316</v>
      </c>
      <c r="D607" s="220">
        <v>230109</v>
      </c>
      <c r="E607" s="233">
        <v>0</v>
      </c>
    </row>
    <row r="608" spans="1:5" ht="15.75">
      <c r="A608" s="230"/>
      <c r="B608" s="236">
        <f t="shared" si="25"/>
        <v>4965.91</v>
      </c>
      <c r="C608" s="221" t="s">
        <v>86</v>
      </c>
      <c r="D608" s="220">
        <v>230110</v>
      </c>
      <c r="E608" s="233">
        <v>0</v>
      </c>
    </row>
    <row r="609" spans="1:5" ht="15.75">
      <c r="A609" s="230"/>
      <c r="B609" s="236">
        <f t="shared" si="25"/>
        <v>0</v>
      </c>
      <c r="C609" s="221" t="s">
        <v>346</v>
      </c>
      <c r="D609" s="220">
        <v>230111</v>
      </c>
      <c r="E609" s="233">
        <v>0</v>
      </c>
    </row>
    <row r="610" spans="1:5" ht="15.75">
      <c r="A610" s="230"/>
      <c r="B610" s="236">
        <f t="shared" si="25"/>
        <v>13350.5</v>
      </c>
      <c r="C610" s="221" t="s">
        <v>373</v>
      </c>
      <c r="D610" s="220">
        <v>230112</v>
      </c>
      <c r="E610" s="233">
        <v>132.5</v>
      </c>
    </row>
    <row r="611" spans="1:5" ht="15.75">
      <c r="A611" s="230"/>
      <c r="B611" s="236">
        <f t="shared" si="25"/>
        <v>23450</v>
      </c>
      <c r="C611" s="221" t="s">
        <v>461</v>
      </c>
      <c r="D611" s="220">
        <v>230113</v>
      </c>
      <c r="E611" s="233">
        <v>0</v>
      </c>
    </row>
    <row r="612" spans="1:5" ht="15.75">
      <c r="A612" s="230"/>
      <c r="B612" s="236">
        <f t="shared" si="25"/>
        <v>11880</v>
      </c>
      <c r="C612" s="221" t="s">
        <v>25</v>
      </c>
      <c r="D612" s="220">
        <v>230114</v>
      </c>
      <c r="E612" s="233">
        <v>0</v>
      </c>
    </row>
    <row r="613" spans="1:5" ht="15.75">
      <c r="A613" s="230"/>
      <c r="B613" s="236">
        <f t="shared" si="25"/>
        <v>20700</v>
      </c>
      <c r="C613" s="221" t="s">
        <v>318</v>
      </c>
      <c r="D613" s="220">
        <v>230115</v>
      </c>
      <c r="E613" s="233">
        <v>0</v>
      </c>
    </row>
    <row r="614" spans="1:5" ht="15.75">
      <c r="A614" s="230"/>
      <c r="B614" s="236">
        <f t="shared" si="25"/>
        <v>1500</v>
      </c>
      <c r="C614" s="221" t="s">
        <v>124</v>
      </c>
      <c r="D614" s="220">
        <v>230116</v>
      </c>
      <c r="E614" s="233">
        <v>0</v>
      </c>
    </row>
    <row r="615" spans="1:5" ht="15.75">
      <c r="A615" s="230"/>
      <c r="B615" s="236">
        <f t="shared" si="25"/>
        <v>46.01</v>
      </c>
      <c r="C615" s="219" t="s">
        <v>56</v>
      </c>
      <c r="D615" s="220">
        <v>110602</v>
      </c>
      <c r="E615" s="233">
        <v>0</v>
      </c>
    </row>
    <row r="616" spans="2:5" ht="15.75">
      <c r="B616" s="236">
        <f t="shared" si="25"/>
        <v>0</v>
      </c>
      <c r="C616" s="219" t="s">
        <v>59</v>
      </c>
      <c r="D616" s="220">
        <v>110604</v>
      </c>
      <c r="E616" s="233">
        <v>0</v>
      </c>
    </row>
    <row r="617" spans="2:5" ht="15.75">
      <c r="B617" s="236">
        <f t="shared" si="25"/>
        <v>0</v>
      </c>
      <c r="C617" s="219" t="s">
        <v>126</v>
      </c>
      <c r="D617" s="220">
        <v>110605</v>
      </c>
      <c r="E617" s="233">
        <v>0</v>
      </c>
    </row>
    <row r="618" spans="2:5" ht="15.75">
      <c r="B618" s="236">
        <f t="shared" si="25"/>
        <v>0</v>
      </c>
      <c r="C618" s="219" t="s">
        <v>135</v>
      </c>
      <c r="D618" s="220">
        <v>110606</v>
      </c>
      <c r="E618" s="233">
        <v>0</v>
      </c>
    </row>
    <row r="619" spans="2:5" ht="15.75">
      <c r="B619" s="236">
        <f t="shared" si="25"/>
        <v>3399.35</v>
      </c>
      <c r="C619" s="221" t="s">
        <v>343</v>
      </c>
      <c r="D619" s="220">
        <v>110605</v>
      </c>
      <c r="E619" s="233">
        <v>3088</v>
      </c>
    </row>
    <row r="620" spans="2:5" ht="15.75">
      <c r="B620" s="236">
        <f t="shared" si="25"/>
        <v>1200</v>
      </c>
      <c r="C620" s="221" t="s">
        <v>474</v>
      </c>
      <c r="D620" s="220">
        <v>110606</v>
      </c>
      <c r="E620" s="233">
        <v>0</v>
      </c>
    </row>
    <row r="621" spans="2:5" ht="15.75">
      <c r="B621" s="236">
        <f t="shared" si="25"/>
        <v>800</v>
      </c>
      <c r="C621" s="221" t="s">
        <v>392</v>
      </c>
      <c r="D621" s="220">
        <v>110609</v>
      </c>
      <c r="E621" s="233">
        <v>800</v>
      </c>
    </row>
    <row r="622" spans="2:5" ht="15.75">
      <c r="B622" s="236">
        <f t="shared" si="25"/>
        <v>1000</v>
      </c>
      <c r="C622" s="221" t="s">
        <v>15</v>
      </c>
      <c r="D622" s="220">
        <v>300000</v>
      </c>
      <c r="E622" s="233">
        <v>1000</v>
      </c>
    </row>
    <row r="623" spans="2:5" ht="15.75">
      <c r="B623" s="236">
        <f t="shared" si="25"/>
        <v>10.8</v>
      </c>
      <c r="C623" s="221" t="s">
        <v>289</v>
      </c>
      <c r="D623" s="220">
        <v>230200</v>
      </c>
      <c r="E623" s="233">
        <v>0</v>
      </c>
    </row>
    <row r="624" spans="2:5" ht="15.75">
      <c r="B624" s="233"/>
      <c r="C624" s="221"/>
      <c r="D624" s="222"/>
      <c r="E624" s="233"/>
    </row>
    <row r="625" spans="2:5" ht="15.75">
      <c r="B625" s="243">
        <f>SUM(B601:B624)</f>
        <v>20905410.370000005</v>
      </c>
      <c r="C625" s="221"/>
      <c r="D625" s="223"/>
      <c r="E625" s="243">
        <f>SUM(E601:E624)</f>
        <v>6240975.18</v>
      </c>
    </row>
    <row r="626" spans="2:5" ht="16.5" thickBot="1">
      <c r="B626" s="237">
        <f>SUM(B625+B600)</f>
        <v>47336861.95</v>
      </c>
      <c r="C626" s="224" t="s">
        <v>32</v>
      </c>
      <c r="D626" s="223"/>
      <c r="E626" s="237">
        <f>SUM(E600,E625)</f>
        <v>9568714.68</v>
      </c>
    </row>
    <row r="627" ht="16.5" thickTop="1"/>
    <row r="631" spans="1:5" ht="15.75">
      <c r="A631" s="486" t="s">
        <v>137</v>
      </c>
      <c r="B631" s="486"/>
      <c r="C631" s="226"/>
      <c r="D631" s="226"/>
      <c r="E631" s="401" t="s">
        <v>139</v>
      </c>
    </row>
    <row r="632" spans="1:5" ht="15.75">
      <c r="A632" s="227" t="s">
        <v>16</v>
      </c>
      <c r="B632" s="227" t="s">
        <v>138</v>
      </c>
      <c r="C632" s="227" t="s">
        <v>0</v>
      </c>
      <c r="D632" s="227" t="s">
        <v>133</v>
      </c>
      <c r="E632" s="227" t="s">
        <v>138</v>
      </c>
    </row>
    <row r="633" spans="1:5" ht="15.75">
      <c r="A633" s="235" t="s">
        <v>49</v>
      </c>
      <c r="B633" s="235" t="s">
        <v>49</v>
      </c>
      <c r="C633" s="222"/>
      <c r="D633" s="222"/>
      <c r="E633" s="235" t="s">
        <v>49</v>
      </c>
    </row>
    <row r="634" spans="1:5" ht="15.75">
      <c r="A634" s="233"/>
      <c r="B634" s="233"/>
      <c r="C634" s="218" t="s">
        <v>30</v>
      </c>
      <c r="D634" s="219"/>
      <c r="E634" s="244"/>
    </row>
    <row r="635" spans="1:5" ht="17.25">
      <c r="A635" s="233">
        <f>656778+310000+108000+120000+303204+131216</f>
        <v>1629198</v>
      </c>
      <c r="B635" s="236">
        <f>+E635+B536</f>
        <v>345224</v>
      </c>
      <c r="C635" s="219" t="s">
        <v>11</v>
      </c>
      <c r="D635" s="228">
        <v>510000</v>
      </c>
      <c r="E635" s="245">
        <v>106066</v>
      </c>
    </row>
    <row r="636" spans="1:5" ht="17.25">
      <c r="A636" s="233">
        <f>120000+1490400+198720+695520+120000</f>
        <v>2624640</v>
      </c>
      <c r="B636" s="236">
        <f aca="true" t="shared" si="26" ref="B636:B647">+E636+B537</f>
        <v>1526054</v>
      </c>
      <c r="C636" s="219" t="s">
        <v>144</v>
      </c>
      <c r="D636" s="228">
        <v>521000</v>
      </c>
      <c r="E636" s="246">
        <v>218720</v>
      </c>
    </row>
    <row r="637" spans="1:5" ht="17.25">
      <c r="A637" s="233">
        <f>141600+5095000+158000</f>
        <v>5394600</v>
      </c>
      <c r="B637" s="236">
        <f t="shared" si="26"/>
        <v>2511030.23</v>
      </c>
      <c r="C637" s="219" t="s">
        <v>145</v>
      </c>
      <c r="D637" s="228">
        <v>522000</v>
      </c>
      <c r="E637" s="246">
        <v>362953</v>
      </c>
    </row>
    <row r="638" spans="1:5" ht="17.25">
      <c r="A638" s="233">
        <f>38000+326000</f>
        <v>364000</v>
      </c>
      <c r="B638" s="236">
        <f t="shared" si="26"/>
        <v>237120</v>
      </c>
      <c r="C638" s="219" t="s">
        <v>3</v>
      </c>
      <c r="D638" s="228">
        <v>220400</v>
      </c>
      <c r="E638" s="246">
        <v>30960</v>
      </c>
    </row>
    <row r="639" spans="1:5" ht="17.25">
      <c r="A639" s="233">
        <f>446000+2811000</f>
        <v>3257000</v>
      </c>
      <c r="B639" s="236">
        <f t="shared" si="26"/>
        <v>1460265</v>
      </c>
      <c r="C639" s="219" t="s">
        <v>4</v>
      </c>
      <c r="D639" s="228">
        <v>220600</v>
      </c>
      <c r="E639" s="246">
        <v>244850</v>
      </c>
    </row>
    <row r="640" spans="1:5" ht="17.25">
      <c r="A640" s="233">
        <f>82000+24000+70500+366000+15000</f>
        <v>557500</v>
      </c>
      <c r="B640" s="236">
        <f t="shared" si="26"/>
        <v>201211</v>
      </c>
      <c r="C640" s="219" t="s">
        <v>5</v>
      </c>
      <c r="D640" s="228">
        <v>531000</v>
      </c>
      <c r="E640" s="246">
        <v>31500</v>
      </c>
    </row>
    <row r="641" spans="1:5" ht="17.25">
      <c r="A641" s="233">
        <f>1873000+40000+30000+30000+40000+20000+30000+20000+50000+30000+30000+90000+20000+50000+150000+1094250+10000+100000+550000+20000+200000+150000+165000+10000+30000+10000+10000+2000+120000</f>
        <v>4974250</v>
      </c>
      <c r="B641" s="236">
        <f t="shared" si="26"/>
        <v>1895220.81</v>
      </c>
      <c r="C641" s="219" t="s">
        <v>6</v>
      </c>
      <c r="D641" s="228">
        <v>532000</v>
      </c>
      <c r="E641" s="246">
        <v>261472</v>
      </c>
    </row>
    <row r="642" spans="1:5" ht="17.25">
      <c r="A642" s="233">
        <f>150000+160000+90000+980000+100000+20000+50000+2061080+100000+210000</f>
        <v>3921080</v>
      </c>
      <c r="B642" s="236">
        <f t="shared" si="26"/>
        <v>776631.5399999999</v>
      </c>
      <c r="C642" s="219" t="s">
        <v>7</v>
      </c>
      <c r="D642" s="228">
        <v>533000</v>
      </c>
      <c r="E642" s="246">
        <v>110369.22</v>
      </c>
    </row>
    <row r="643" spans="1:5" ht="17.25">
      <c r="A643" s="233">
        <f>110000+770000+40000+10000</f>
        <v>930000</v>
      </c>
      <c r="B643" s="236">
        <f t="shared" si="26"/>
        <v>543790.3899999999</v>
      </c>
      <c r="C643" s="219" t="s">
        <v>8</v>
      </c>
      <c r="D643" s="228">
        <v>534000</v>
      </c>
      <c r="E643" s="246">
        <v>5701</v>
      </c>
    </row>
    <row r="644" spans="1:5" ht="17.25">
      <c r="A644" s="233">
        <f>100000+40500+13000+7000+21000+25000+8500+8000+132000+100000+59000+38000+38000+10000+25000</f>
        <v>625000</v>
      </c>
      <c r="B644" s="236">
        <f t="shared" si="26"/>
        <v>386397.7</v>
      </c>
      <c r="C644" s="219" t="s">
        <v>9</v>
      </c>
      <c r="D644" s="228">
        <v>541000</v>
      </c>
      <c r="E644" s="246">
        <v>55667.7</v>
      </c>
    </row>
    <row r="645" spans="1:5" ht="17.25">
      <c r="A645" s="233">
        <f>88700+239000+179300+132000+132000+71000+132000+147000+132000+141000+349000+177000+362000+370000+53600+145000+185000+110000+287000+300000+100000+40000+640000</f>
        <v>4512600</v>
      </c>
      <c r="B645" s="236">
        <f t="shared" si="26"/>
        <v>355750</v>
      </c>
      <c r="C645" s="219" t="s">
        <v>10</v>
      </c>
      <c r="D645" s="228">
        <v>542000</v>
      </c>
      <c r="E645" s="246">
        <v>98000</v>
      </c>
    </row>
    <row r="646" spans="1:5" ht="17.25">
      <c r="A646" s="233">
        <f>60000+268000+3877332</f>
        <v>4205332</v>
      </c>
      <c r="B646" s="236">
        <f t="shared" si="26"/>
        <v>2237000</v>
      </c>
      <c r="C646" s="219" t="s">
        <v>13</v>
      </c>
      <c r="D646" s="220">
        <v>560000</v>
      </c>
      <c r="E646" s="246">
        <v>0</v>
      </c>
    </row>
    <row r="647" spans="1:5" ht="15.75">
      <c r="A647" s="233">
        <v>25000</v>
      </c>
      <c r="B647" s="236">
        <f t="shared" si="26"/>
        <v>0</v>
      </c>
      <c r="C647" s="219" t="s">
        <v>12</v>
      </c>
      <c r="D647" s="228">
        <v>550000</v>
      </c>
      <c r="E647" s="250">
        <v>0</v>
      </c>
    </row>
    <row r="648" spans="1:5" ht="16.5" thickBot="1">
      <c r="A648" s="237">
        <f>SUM(A635:A647)</f>
        <v>33020200</v>
      </c>
      <c r="B648" s="237">
        <f>SUM(B635:B647)</f>
        <v>12475694.67</v>
      </c>
      <c r="C648" s="224"/>
      <c r="D648" s="219"/>
      <c r="E648" s="237">
        <f>SUM(E635:E647)</f>
        <v>1526258.92</v>
      </c>
    </row>
    <row r="649" spans="1:5" ht="16.5" thickTop="1">
      <c r="A649" s="238"/>
      <c r="B649" s="236">
        <f>+E649+B550</f>
        <v>2370952</v>
      </c>
      <c r="C649" s="219" t="s">
        <v>493</v>
      </c>
      <c r="D649" s="228">
        <v>441000</v>
      </c>
      <c r="E649" s="233">
        <f>43200+126100+1540+130322+30800</f>
        <v>331962</v>
      </c>
    </row>
    <row r="650" spans="1:5" ht="15.75">
      <c r="A650" s="239"/>
      <c r="B650" s="236">
        <f>+E650+B551</f>
        <v>4110000</v>
      </c>
      <c r="C650" s="219" t="s">
        <v>361</v>
      </c>
      <c r="D650" s="228">
        <v>441000</v>
      </c>
      <c r="E650" s="233">
        <v>0</v>
      </c>
    </row>
    <row r="651" spans="1:5" ht="15.75">
      <c r="A651" s="239"/>
      <c r="B651" s="236">
        <f>+E651</f>
        <v>5436000</v>
      </c>
      <c r="C651" s="219" t="s">
        <v>584</v>
      </c>
      <c r="D651" s="228">
        <v>220101</v>
      </c>
      <c r="E651" s="233">
        <v>5436000</v>
      </c>
    </row>
    <row r="652" spans="1:5" ht="15.75" hidden="1">
      <c r="A652" s="239"/>
      <c r="B652" s="236">
        <f>+E652+B552</f>
        <v>0</v>
      </c>
      <c r="C652" s="219" t="s">
        <v>25</v>
      </c>
      <c r="D652" s="228">
        <v>412210</v>
      </c>
      <c r="E652" s="233">
        <v>0</v>
      </c>
    </row>
    <row r="653" spans="1:5" ht="15.75" hidden="1">
      <c r="A653" s="239"/>
      <c r="B653" s="236">
        <f aca="true" t="shared" si="27" ref="B653:B671">+E653+B553</f>
        <v>0</v>
      </c>
      <c r="C653" s="219" t="s">
        <v>134</v>
      </c>
      <c r="D653" s="220">
        <v>110202</v>
      </c>
      <c r="E653" s="233">
        <v>0</v>
      </c>
    </row>
    <row r="654" spans="1:5" ht="15.75">
      <c r="A654" s="239"/>
      <c r="B654" s="236">
        <f t="shared" si="27"/>
        <v>148388</v>
      </c>
      <c r="C654" s="219" t="s">
        <v>126</v>
      </c>
      <c r="D654" s="228">
        <v>110605</v>
      </c>
      <c r="E654" s="233">
        <v>30000</v>
      </c>
    </row>
    <row r="655" spans="1:5" ht="15.75">
      <c r="A655" s="239"/>
      <c r="B655" s="236">
        <f t="shared" si="27"/>
        <v>3039600</v>
      </c>
      <c r="C655" s="219" t="s">
        <v>335</v>
      </c>
      <c r="D655" s="228">
        <v>110609</v>
      </c>
      <c r="E655" s="233">
        <v>758200</v>
      </c>
    </row>
    <row r="656" spans="1:5" ht="15.75">
      <c r="A656" s="239"/>
      <c r="B656" s="236">
        <f t="shared" si="27"/>
        <v>3125461</v>
      </c>
      <c r="C656" s="219" t="s">
        <v>135</v>
      </c>
      <c r="D656" s="220">
        <v>110606</v>
      </c>
      <c r="E656" s="233">
        <v>0</v>
      </c>
    </row>
    <row r="657" spans="1:5" ht="15.75">
      <c r="A657" s="239"/>
      <c r="B657" s="236">
        <f t="shared" si="27"/>
        <v>105449.43</v>
      </c>
      <c r="C657" s="219" t="s">
        <v>26</v>
      </c>
      <c r="D657" s="220">
        <v>230102</v>
      </c>
      <c r="E657" s="233">
        <v>56311.03</v>
      </c>
    </row>
    <row r="658" spans="1:5" ht="15.75">
      <c r="A658" s="239"/>
      <c r="B658" s="236">
        <f t="shared" si="27"/>
        <v>839512</v>
      </c>
      <c r="C658" s="219" t="s">
        <v>323</v>
      </c>
      <c r="D658" s="220">
        <v>230108</v>
      </c>
      <c r="E658" s="233">
        <v>2885</v>
      </c>
    </row>
    <row r="659" spans="1:5" ht="15.75">
      <c r="A659" s="239"/>
      <c r="B659" s="236">
        <f t="shared" si="27"/>
        <v>0</v>
      </c>
      <c r="C659" s="219" t="s">
        <v>86</v>
      </c>
      <c r="D659" s="229">
        <v>230110</v>
      </c>
      <c r="E659" s="233">
        <v>0</v>
      </c>
    </row>
    <row r="660" spans="1:5" ht="15.75">
      <c r="A660" s="239"/>
      <c r="B660" s="236">
        <f t="shared" si="27"/>
        <v>27699.75</v>
      </c>
      <c r="C660" s="219" t="s">
        <v>331</v>
      </c>
      <c r="D660" s="229">
        <v>230109</v>
      </c>
      <c r="E660" s="233">
        <v>0</v>
      </c>
    </row>
    <row r="661" spans="1:5" ht="15.75" hidden="1">
      <c r="A661" s="239"/>
      <c r="B661" s="236">
        <f t="shared" si="27"/>
        <v>0</v>
      </c>
      <c r="C661" s="219" t="s">
        <v>346</v>
      </c>
      <c r="D661" s="229">
        <v>230111</v>
      </c>
      <c r="E661" s="233">
        <v>0</v>
      </c>
    </row>
    <row r="662" spans="1:5" ht="15.75">
      <c r="A662" s="239"/>
      <c r="B662" s="236">
        <f t="shared" si="27"/>
        <v>13218</v>
      </c>
      <c r="C662" s="219" t="s">
        <v>373</v>
      </c>
      <c r="D662" s="229">
        <v>230112</v>
      </c>
      <c r="E662" s="233">
        <v>320</v>
      </c>
    </row>
    <row r="663" spans="1:5" ht="15.75">
      <c r="A663" s="239"/>
      <c r="B663" s="236">
        <f t="shared" si="27"/>
        <v>0</v>
      </c>
      <c r="C663" s="221" t="s">
        <v>461</v>
      </c>
      <c r="D663" s="220">
        <v>230113</v>
      </c>
      <c r="E663" s="233">
        <v>0</v>
      </c>
    </row>
    <row r="664" spans="1:5" ht="15.75">
      <c r="A664" s="239"/>
      <c r="B664" s="236">
        <f t="shared" si="27"/>
        <v>4592</v>
      </c>
      <c r="C664" s="221" t="s">
        <v>25</v>
      </c>
      <c r="D664" s="220">
        <v>230114</v>
      </c>
      <c r="E664" s="233">
        <v>0</v>
      </c>
    </row>
    <row r="665" spans="1:5" ht="15.75">
      <c r="A665" s="239"/>
      <c r="B665" s="236">
        <f t="shared" si="27"/>
        <v>20700</v>
      </c>
      <c r="C665" s="221" t="s">
        <v>318</v>
      </c>
      <c r="D665" s="220">
        <v>230115</v>
      </c>
      <c r="E665" s="233">
        <v>0</v>
      </c>
    </row>
    <row r="666" spans="1:5" ht="15.75">
      <c r="A666" s="239"/>
      <c r="B666" s="236">
        <f t="shared" si="27"/>
        <v>1500</v>
      </c>
      <c r="C666" s="221" t="s">
        <v>124</v>
      </c>
      <c r="D666" s="220">
        <v>230116</v>
      </c>
      <c r="E666" s="233">
        <v>0</v>
      </c>
    </row>
    <row r="667" spans="1:5" ht="15.75" hidden="1">
      <c r="A667" s="239"/>
      <c r="B667" s="236">
        <f t="shared" si="27"/>
        <v>0</v>
      </c>
      <c r="C667" s="219" t="s">
        <v>58</v>
      </c>
      <c r="D667" s="229">
        <v>210500</v>
      </c>
      <c r="E667" s="233">
        <v>0</v>
      </c>
    </row>
    <row r="668" spans="1:5" ht="15.75">
      <c r="A668" s="239"/>
      <c r="B668" s="236">
        <f t="shared" si="27"/>
        <v>3719044</v>
      </c>
      <c r="C668" s="219" t="s">
        <v>14</v>
      </c>
      <c r="D668" s="229">
        <v>210400</v>
      </c>
      <c r="E668" s="233">
        <v>2180500</v>
      </c>
    </row>
    <row r="669" spans="1:5" ht="15.75">
      <c r="A669" s="239"/>
      <c r="B669" s="236">
        <f t="shared" si="27"/>
        <v>521347.83</v>
      </c>
      <c r="C669" s="219" t="s">
        <v>15</v>
      </c>
      <c r="D669" s="220">
        <v>300000</v>
      </c>
      <c r="E669" s="233">
        <v>0</v>
      </c>
    </row>
    <row r="670" spans="1:5" ht="15.75" hidden="1">
      <c r="A670" s="239"/>
      <c r="B670" s="236">
        <f t="shared" si="27"/>
        <v>0</v>
      </c>
      <c r="C670" s="230" t="s">
        <v>348</v>
      </c>
      <c r="D670" s="220">
        <v>441000</v>
      </c>
      <c r="E670" s="233">
        <v>0</v>
      </c>
    </row>
    <row r="671" spans="1:5" ht="15.75" hidden="1">
      <c r="A671" s="239"/>
      <c r="B671" s="236">
        <f t="shared" si="27"/>
        <v>0</v>
      </c>
      <c r="C671" s="230" t="s">
        <v>394</v>
      </c>
      <c r="D671" s="220">
        <v>441000</v>
      </c>
      <c r="E671" s="233">
        <v>0</v>
      </c>
    </row>
    <row r="672" spans="1:5" ht="15.75">
      <c r="A672" s="239"/>
      <c r="B672" s="236"/>
      <c r="C672" s="230"/>
      <c r="D672" s="231"/>
      <c r="E672" s="233">
        <v>0</v>
      </c>
    </row>
    <row r="673" spans="1:5" ht="15.75">
      <c r="A673" s="239"/>
      <c r="B673" s="243">
        <f>SUM(B649:B672)</f>
        <v>23483464.009999998</v>
      </c>
      <c r="C673" s="230"/>
      <c r="D673" s="223"/>
      <c r="E673" s="243">
        <f>SUM(E649:E672)</f>
        <v>8796178.030000001</v>
      </c>
    </row>
    <row r="674" spans="1:5" ht="16.5" thickBot="1">
      <c r="A674" s="240"/>
      <c r="B674" s="237">
        <f>SUM(B673,B648)</f>
        <v>35959158.68</v>
      </c>
      <c r="C674" s="232" t="s">
        <v>31</v>
      </c>
      <c r="D674" s="223"/>
      <c r="E674" s="237">
        <f>SUM(E673,E648)</f>
        <v>10322436.950000001</v>
      </c>
    </row>
    <row r="675" spans="2:5" ht="16.5" thickTop="1">
      <c r="B675" s="219"/>
      <c r="C675" s="400" t="s">
        <v>146</v>
      </c>
      <c r="D675" s="223"/>
      <c r="E675" s="219"/>
    </row>
    <row r="676" spans="2:5" ht="15.75">
      <c r="B676" s="247"/>
      <c r="C676" s="400" t="s">
        <v>149</v>
      </c>
      <c r="D676" s="223"/>
      <c r="E676" s="247"/>
    </row>
    <row r="677" spans="2:5" ht="15.75">
      <c r="B677" s="247">
        <f>SUM(B626-B674)</f>
        <v>11377703.270000003</v>
      </c>
      <c r="C677" s="400" t="s">
        <v>147</v>
      </c>
      <c r="E677" s="247">
        <f>SUM(E626-E674)</f>
        <v>-753722.2700000014</v>
      </c>
    </row>
    <row r="678" spans="2:6" ht="16.5" thickBot="1">
      <c r="B678" s="248">
        <f>SUM(B590+B626-B674)</f>
        <v>34442652.34000001</v>
      </c>
      <c r="C678" s="400" t="s">
        <v>148</v>
      </c>
      <c r="E678" s="248">
        <f>SUM(E590+E626-E674)</f>
        <v>34442652.33999999</v>
      </c>
      <c r="F678" s="102">
        <f>+E678-B678</f>
        <v>0</v>
      </c>
    </row>
    <row r="679" spans="2:6" ht="16.5" thickTop="1">
      <c r="B679" s="249"/>
      <c r="C679" s="400"/>
      <c r="E679" s="249"/>
      <c r="F679" s="102">
        <f>+งบดุลบัญชี!AU5</f>
        <v>34442621.75</v>
      </c>
    </row>
    <row r="680" ht="15.75">
      <c r="F680" s="102">
        <f>+งบดุลบัญชี!AU4</f>
        <v>30.59</v>
      </c>
    </row>
    <row r="681" spans="1:6" ht="15.75">
      <c r="A681" s="484" t="s">
        <v>370</v>
      </c>
      <c r="B681" s="484"/>
      <c r="C681" s="402" t="s">
        <v>587</v>
      </c>
      <c r="D681" s="484" t="s">
        <v>327</v>
      </c>
      <c r="E681" s="484"/>
      <c r="F681" s="102">
        <f>SUM(F679:F680)</f>
        <v>34442652.34</v>
      </c>
    </row>
    <row r="682" spans="1:6" ht="15.75">
      <c r="A682" s="484" t="s">
        <v>436</v>
      </c>
      <c r="B682" s="484"/>
      <c r="C682" s="402" t="s">
        <v>586</v>
      </c>
      <c r="D682" s="484" t="s">
        <v>38</v>
      </c>
      <c r="E682" s="484"/>
      <c r="F682" s="102">
        <f>+F681-E678</f>
        <v>0</v>
      </c>
    </row>
    <row r="683" spans="1:3" ht="15.75">
      <c r="A683" s="484" t="s">
        <v>437</v>
      </c>
      <c r="B683" s="484"/>
      <c r="C683" s="402" t="s">
        <v>588</v>
      </c>
    </row>
    <row r="684" spans="1:5" ht="15.75">
      <c r="A684" s="234" t="s">
        <v>29</v>
      </c>
      <c r="D684" s="251" t="s">
        <v>140</v>
      </c>
      <c r="E684" s="241" t="s">
        <v>613</v>
      </c>
    </row>
    <row r="685" spans="1:5" ht="15.75">
      <c r="A685" s="485" t="s">
        <v>136</v>
      </c>
      <c r="B685" s="485"/>
      <c r="C685" s="485"/>
      <c r="D685" s="485"/>
      <c r="E685" s="485"/>
    </row>
    <row r="686" ht="15.75">
      <c r="E686" s="417" t="s">
        <v>531</v>
      </c>
    </row>
    <row r="687" spans="1:5" ht="15.75">
      <c r="A687" s="486" t="s">
        <v>137</v>
      </c>
      <c r="B687" s="486"/>
      <c r="C687" s="226"/>
      <c r="D687" s="226"/>
      <c r="E687" s="418" t="s">
        <v>139</v>
      </c>
    </row>
    <row r="688" spans="1:5" ht="15.75">
      <c r="A688" s="227" t="s">
        <v>16</v>
      </c>
      <c r="B688" s="227" t="s">
        <v>138</v>
      </c>
      <c r="C688" s="227" t="s">
        <v>0</v>
      </c>
      <c r="D688" s="227" t="s">
        <v>133</v>
      </c>
      <c r="E688" s="227" t="s">
        <v>138</v>
      </c>
    </row>
    <row r="689" spans="1:5" ht="15.75">
      <c r="A689" s="235" t="s">
        <v>49</v>
      </c>
      <c r="B689" s="235" t="s">
        <v>49</v>
      </c>
      <c r="C689" s="222"/>
      <c r="D689" s="222"/>
      <c r="E689" s="235" t="s">
        <v>49</v>
      </c>
    </row>
    <row r="690" spans="1:5" ht="15.75">
      <c r="A690" s="233"/>
      <c r="B690" s="242">
        <v>23064949.07</v>
      </c>
      <c r="C690" s="218" t="s">
        <v>141</v>
      </c>
      <c r="D690" s="219"/>
      <c r="E690" s="242">
        <f>+E678</f>
        <v>34442652.33999999</v>
      </c>
    </row>
    <row r="691" spans="1:5" ht="15.75">
      <c r="A691" s="233"/>
      <c r="B691" s="233"/>
      <c r="C691" s="218" t="s">
        <v>142</v>
      </c>
      <c r="D691" s="219"/>
      <c r="E691" s="233"/>
    </row>
    <row r="692" spans="1:5" ht="15.75">
      <c r="A692" s="236">
        <v>198000</v>
      </c>
      <c r="B692" s="236">
        <f>+E692+B592</f>
        <v>172675.84</v>
      </c>
      <c r="C692" s="219" t="s">
        <v>19</v>
      </c>
      <c r="D692" s="220">
        <v>411000</v>
      </c>
      <c r="E692" s="233">
        <v>869.38</v>
      </c>
    </row>
    <row r="693" spans="1:5" ht="15.75">
      <c r="A693" s="236">
        <v>260200</v>
      </c>
      <c r="B693" s="236">
        <f aca="true" t="shared" si="28" ref="B693:B699">+E693+B593</f>
        <v>198688.2</v>
      </c>
      <c r="C693" s="219" t="s">
        <v>319</v>
      </c>
      <c r="D693" s="220">
        <v>412000</v>
      </c>
      <c r="E693" s="233">
        <v>18160</v>
      </c>
    </row>
    <row r="694" spans="1:5" ht="15.75">
      <c r="A694" s="236">
        <v>300500</v>
      </c>
      <c r="B694" s="236">
        <f t="shared" si="28"/>
        <v>134333.7</v>
      </c>
      <c r="C694" s="219" t="s">
        <v>21</v>
      </c>
      <c r="D694" s="220">
        <v>413000</v>
      </c>
      <c r="E694" s="233">
        <v>0</v>
      </c>
    </row>
    <row r="695" spans="1:5" ht="15.75">
      <c r="A695" s="236">
        <v>200000</v>
      </c>
      <c r="B695" s="236">
        <f t="shared" si="28"/>
        <v>201590</v>
      </c>
      <c r="C695" s="219" t="s">
        <v>23</v>
      </c>
      <c r="D695" s="220">
        <v>414000</v>
      </c>
      <c r="E695" s="233">
        <v>25605</v>
      </c>
    </row>
    <row r="696" spans="1:5" ht="15.75">
      <c r="A696" s="236">
        <v>60000</v>
      </c>
      <c r="B696" s="236">
        <f t="shared" si="28"/>
        <v>265525</v>
      </c>
      <c r="C696" s="219" t="s">
        <v>20</v>
      </c>
      <c r="D696" s="220">
        <v>415000</v>
      </c>
      <c r="E696" s="233">
        <v>0</v>
      </c>
    </row>
    <row r="697" spans="1:5" ht="15.75">
      <c r="A697" s="236">
        <v>500</v>
      </c>
      <c r="B697" s="236">
        <f t="shared" si="28"/>
        <v>144080</v>
      </c>
      <c r="C697" s="219" t="s">
        <v>121</v>
      </c>
      <c r="D697" s="220">
        <v>416000</v>
      </c>
      <c r="E697" s="233">
        <v>0</v>
      </c>
    </row>
    <row r="698" spans="1:5" ht="15.75">
      <c r="A698" s="236">
        <v>14141000</v>
      </c>
      <c r="B698" s="236">
        <f t="shared" si="28"/>
        <v>11377935.45</v>
      </c>
      <c r="C698" s="219" t="s">
        <v>50</v>
      </c>
      <c r="D698" s="220">
        <v>421000</v>
      </c>
      <c r="E698" s="233">
        <v>2113376.23</v>
      </c>
    </row>
    <row r="699" spans="1:5" ht="15.75">
      <c r="A699" s="236">
        <v>17860000</v>
      </c>
      <c r="B699" s="236">
        <f t="shared" si="28"/>
        <v>16094634</v>
      </c>
      <c r="C699" s="219" t="s">
        <v>22</v>
      </c>
      <c r="D699" s="220">
        <v>431002</v>
      </c>
      <c r="E699" s="233">
        <v>0</v>
      </c>
    </row>
    <row r="700" spans="1:5" ht="16.5" thickBot="1">
      <c r="A700" s="237">
        <f>SUM(A692:A699)</f>
        <v>33020200</v>
      </c>
      <c r="B700" s="237">
        <f>SUM(B692:B699)</f>
        <v>28589462.189999998</v>
      </c>
      <c r="C700" s="219"/>
      <c r="D700" s="220"/>
      <c r="E700" s="237">
        <f>SUM(E692:E699)</f>
        <v>2158010.61</v>
      </c>
    </row>
    <row r="701" spans="1:5" ht="16.5" thickTop="1">
      <c r="A701" s="238"/>
      <c r="B701" s="236">
        <f>+E701+B601</f>
        <v>10165255</v>
      </c>
      <c r="C701" s="219" t="s">
        <v>492</v>
      </c>
      <c r="D701" s="220">
        <v>441000</v>
      </c>
      <c r="E701" s="233">
        <v>946400</v>
      </c>
    </row>
    <row r="702" spans="1:5" ht="15.75">
      <c r="A702" s="239"/>
      <c r="B702" s="236">
        <f>+E702+B602</f>
        <v>4150000</v>
      </c>
      <c r="C702" s="219" t="s">
        <v>120</v>
      </c>
      <c r="D702" s="220">
        <v>441000</v>
      </c>
      <c r="E702" s="233">
        <v>0</v>
      </c>
    </row>
    <row r="703" spans="1:5" ht="15.75">
      <c r="A703" s="239"/>
      <c r="B703" s="236">
        <f>+E703+B603</f>
        <v>11628300</v>
      </c>
      <c r="C703" s="219" t="s">
        <v>583</v>
      </c>
      <c r="D703" s="220">
        <v>220101</v>
      </c>
      <c r="E703" s="233">
        <v>6192300</v>
      </c>
    </row>
    <row r="704" spans="1:5" ht="15.75">
      <c r="A704" s="239"/>
      <c r="B704" s="236">
        <f aca="true" t="shared" si="29" ref="B704:B721">+E704+B604</f>
        <v>213498.2</v>
      </c>
      <c r="C704" s="219" t="s">
        <v>26</v>
      </c>
      <c r="D704" s="220">
        <v>230102</v>
      </c>
      <c r="E704" s="233">
        <v>59710.76</v>
      </c>
    </row>
    <row r="705" spans="1:5" ht="15.75">
      <c r="A705" s="223"/>
      <c r="B705" s="236">
        <f t="shared" si="29"/>
        <v>525.35</v>
      </c>
      <c r="C705" s="219" t="s">
        <v>143</v>
      </c>
      <c r="D705" s="220">
        <v>230105</v>
      </c>
      <c r="E705" s="233">
        <v>45.74</v>
      </c>
    </row>
    <row r="706" spans="1:5" ht="15.75">
      <c r="A706" s="230"/>
      <c r="B706" s="236">
        <f t="shared" si="29"/>
        <v>1868186</v>
      </c>
      <c r="C706" s="219" t="s">
        <v>27</v>
      </c>
      <c r="D706" s="220">
        <v>230108</v>
      </c>
      <c r="E706" s="233">
        <v>31900</v>
      </c>
    </row>
    <row r="707" spans="1:5" ht="15.75">
      <c r="A707" s="230"/>
      <c r="B707" s="236">
        <f t="shared" si="29"/>
        <v>27699.75</v>
      </c>
      <c r="C707" s="219" t="s">
        <v>316</v>
      </c>
      <c r="D707" s="220">
        <v>230109</v>
      </c>
      <c r="E707" s="233">
        <v>0</v>
      </c>
    </row>
    <row r="708" spans="1:5" ht="15.75">
      <c r="A708" s="230"/>
      <c r="B708" s="236">
        <f t="shared" si="29"/>
        <v>4965.91</v>
      </c>
      <c r="C708" s="221" t="s">
        <v>86</v>
      </c>
      <c r="D708" s="220">
        <v>230110</v>
      </c>
      <c r="E708" s="233">
        <v>0</v>
      </c>
    </row>
    <row r="709" spans="1:5" ht="15.75">
      <c r="A709" s="230"/>
      <c r="B709" s="236">
        <f t="shared" si="29"/>
        <v>0</v>
      </c>
      <c r="C709" s="221" t="s">
        <v>346</v>
      </c>
      <c r="D709" s="220">
        <v>230111</v>
      </c>
      <c r="E709" s="233">
        <v>0</v>
      </c>
    </row>
    <row r="710" spans="1:5" ht="15.75">
      <c r="A710" s="230"/>
      <c r="B710" s="236">
        <f t="shared" si="29"/>
        <v>21159.5</v>
      </c>
      <c r="C710" s="221" t="s">
        <v>373</v>
      </c>
      <c r="D710" s="220">
        <v>230112</v>
      </c>
      <c r="E710" s="233">
        <v>7809</v>
      </c>
    </row>
    <row r="711" spans="1:5" ht="15.75">
      <c r="A711" s="230"/>
      <c r="B711" s="236">
        <f t="shared" si="29"/>
        <v>23450</v>
      </c>
      <c r="C711" s="221" t="s">
        <v>461</v>
      </c>
      <c r="D711" s="220">
        <v>230113</v>
      </c>
      <c r="E711" s="233">
        <v>0</v>
      </c>
    </row>
    <row r="712" spans="1:5" ht="15.75">
      <c r="A712" s="230"/>
      <c r="B712" s="236">
        <f t="shared" si="29"/>
        <v>11880</v>
      </c>
      <c r="C712" s="221" t="s">
        <v>25</v>
      </c>
      <c r="D712" s="220">
        <v>230114</v>
      </c>
      <c r="E712" s="233">
        <v>0</v>
      </c>
    </row>
    <row r="713" spans="1:5" ht="15.75">
      <c r="A713" s="230"/>
      <c r="B713" s="236">
        <f t="shared" si="29"/>
        <v>20700</v>
      </c>
      <c r="C713" s="221" t="s">
        <v>318</v>
      </c>
      <c r="D713" s="220">
        <v>230115</v>
      </c>
      <c r="E713" s="233">
        <v>0</v>
      </c>
    </row>
    <row r="714" spans="1:5" ht="15.75">
      <c r="A714" s="230"/>
      <c r="B714" s="236">
        <f t="shared" si="29"/>
        <v>1500</v>
      </c>
      <c r="C714" s="221" t="s">
        <v>124</v>
      </c>
      <c r="D714" s="220">
        <v>230116</v>
      </c>
      <c r="E714" s="233">
        <v>0</v>
      </c>
    </row>
    <row r="715" spans="1:5" ht="15.75">
      <c r="A715" s="230"/>
      <c r="B715" s="236">
        <f t="shared" si="29"/>
        <v>46.01</v>
      </c>
      <c r="C715" s="219" t="s">
        <v>56</v>
      </c>
      <c r="D715" s="220">
        <v>110602</v>
      </c>
      <c r="E715" s="233">
        <v>0</v>
      </c>
    </row>
    <row r="716" spans="2:5" ht="15.75">
      <c r="B716" s="236">
        <f t="shared" si="29"/>
        <v>0</v>
      </c>
      <c r="C716" s="219" t="s">
        <v>59</v>
      </c>
      <c r="D716" s="220">
        <v>110604</v>
      </c>
      <c r="E716" s="233">
        <v>0</v>
      </c>
    </row>
    <row r="717" spans="2:5" ht="15.75">
      <c r="B717" s="236">
        <f t="shared" si="29"/>
        <v>0</v>
      </c>
      <c r="C717" s="219" t="s">
        <v>126</v>
      </c>
      <c r="D717" s="220">
        <v>110605</v>
      </c>
      <c r="E717" s="233">
        <v>0</v>
      </c>
    </row>
    <row r="718" spans="2:5" ht="15.75">
      <c r="B718" s="236">
        <f t="shared" si="29"/>
        <v>0</v>
      </c>
      <c r="C718" s="219" t="s">
        <v>135</v>
      </c>
      <c r="D718" s="220">
        <v>110606</v>
      </c>
      <c r="E718" s="233">
        <v>0</v>
      </c>
    </row>
    <row r="719" spans="2:5" ht="15.75">
      <c r="B719" s="236">
        <f t="shared" si="29"/>
        <v>3399.35</v>
      </c>
      <c r="C719" s="221" t="s">
        <v>343</v>
      </c>
      <c r="D719" s="220">
        <v>110605</v>
      </c>
      <c r="E719" s="233">
        <v>0</v>
      </c>
    </row>
    <row r="720" spans="2:5" ht="15.75">
      <c r="B720" s="236">
        <f t="shared" si="29"/>
        <v>2000</v>
      </c>
      <c r="C720" s="221" t="s">
        <v>474</v>
      </c>
      <c r="D720" s="220">
        <v>110606</v>
      </c>
      <c r="E720" s="233">
        <v>800</v>
      </c>
    </row>
    <row r="721" spans="2:5" ht="15.75">
      <c r="B721" s="236">
        <f t="shared" si="29"/>
        <v>800</v>
      </c>
      <c r="C721" s="221" t="s">
        <v>392</v>
      </c>
      <c r="D721" s="220">
        <v>110609</v>
      </c>
      <c r="E721" s="233">
        <v>0</v>
      </c>
    </row>
    <row r="722" spans="2:5" ht="15.75">
      <c r="B722" s="236">
        <f>+E722</f>
        <v>105</v>
      </c>
      <c r="C722" s="221" t="s">
        <v>333</v>
      </c>
      <c r="D722" s="220">
        <v>522000</v>
      </c>
      <c r="E722" s="233">
        <v>105</v>
      </c>
    </row>
    <row r="723" spans="2:5" ht="15.75">
      <c r="B723" s="236">
        <f>+E723+B622</f>
        <v>1000</v>
      </c>
      <c r="C723" s="221" t="s">
        <v>15</v>
      </c>
      <c r="D723" s="220">
        <v>300000</v>
      </c>
      <c r="E723" s="233">
        <v>0</v>
      </c>
    </row>
    <row r="724" spans="2:5" ht="15.75">
      <c r="B724" s="236">
        <f>+E724+B623</f>
        <v>10.8</v>
      </c>
      <c r="C724" s="221" t="s">
        <v>289</v>
      </c>
      <c r="D724" s="220">
        <v>230200</v>
      </c>
      <c r="E724" s="233">
        <v>0</v>
      </c>
    </row>
    <row r="725" spans="2:5" ht="15.75">
      <c r="B725" s="233"/>
      <c r="C725" s="221"/>
      <c r="D725" s="222"/>
      <c r="E725" s="233"/>
    </row>
    <row r="726" spans="2:5" ht="15.75">
      <c r="B726" s="243">
        <f>SUM(B701:B725)</f>
        <v>28144480.870000005</v>
      </c>
      <c r="C726" s="221"/>
      <c r="D726" s="223"/>
      <c r="E726" s="243">
        <f>SUM(E701:E725)</f>
        <v>7239070.5</v>
      </c>
    </row>
    <row r="727" spans="2:5" ht="16.5" thickBot="1">
      <c r="B727" s="237">
        <f>SUM(B726+B700)</f>
        <v>56733943.06</v>
      </c>
      <c r="C727" s="224" t="s">
        <v>32</v>
      </c>
      <c r="D727" s="223"/>
      <c r="E727" s="237">
        <f>SUM(E700,E726)</f>
        <v>9397081.11</v>
      </c>
    </row>
    <row r="728" ht="16.5" thickTop="1"/>
    <row r="732" spans="1:5" ht="15.75">
      <c r="A732" s="486" t="s">
        <v>137</v>
      </c>
      <c r="B732" s="486"/>
      <c r="C732" s="226"/>
      <c r="D732" s="226"/>
      <c r="E732" s="418" t="s">
        <v>139</v>
      </c>
    </row>
    <row r="733" spans="1:5" ht="15.75">
      <c r="A733" s="227" t="s">
        <v>16</v>
      </c>
      <c r="B733" s="227" t="s">
        <v>138</v>
      </c>
      <c r="C733" s="227" t="s">
        <v>0</v>
      </c>
      <c r="D733" s="227" t="s">
        <v>133</v>
      </c>
      <c r="E733" s="227" t="s">
        <v>138</v>
      </c>
    </row>
    <row r="734" spans="1:5" ht="15.75">
      <c r="A734" s="235" t="s">
        <v>49</v>
      </c>
      <c r="B734" s="235" t="s">
        <v>49</v>
      </c>
      <c r="C734" s="222"/>
      <c r="D734" s="222"/>
      <c r="E734" s="235" t="s">
        <v>49</v>
      </c>
    </row>
    <row r="735" spans="1:5" ht="15.75">
      <c r="A735" s="233"/>
      <c r="B735" s="233"/>
      <c r="C735" s="218" t="s">
        <v>30</v>
      </c>
      <c r="D735" s="219"/>
      <c r="E735" s="244"/>
    </row>
    <row r="736" spans="1:5" ht="17.25">
      <c r="A736" s="233">
        <f>656778+310000+108000+120000+303204+131216</f>
        <v>1629198</v>
      </c>
      <c r="B736" s="236">
        <f>+E736+B635</f>
        <v>842093.5</v>
      </c>
      <c r="C736" s="219" t="s">
        <v>11</v>
      </c>
      <c r="D736" s="228">
        <v>510000</v>
      </c>
      <c r="E736" s="245">
        <v>496869.5</v>
      </c>
    </row>
    <row r="737" spans="1:5" ht="17.25">
      <c r="A737" s="233">
        <f>120000+1490400+198720+695520+120000</f>
        <v>2624640</v>
      </c>
      <c r="B737" s="236">
        <f aca="true" t="shared" si="30" ref="B737:B748">+E737+B636</f>
        <v>1744774</v>
      </c>
      <c r="C737" s="219" t="s">
        <v>144</v>
      </c>
      <c r="D737" s="228">
        <v>521000</v>
      </c>
      <c r="E737" s="246">
        <v>218720</v>
      </c>
    </row>
    <row r="738" spans="1:5" ht="17.25">
      <c r="A738" s="233">
        <f>141600+5095000+158000</f>
        <v>5394600</v>
      </c>
      <c r="B738" s="236">
        <f t="shared" si="30"/>
        <v>2909280.23</v>
      </c>
      <c r="C738" s="219" t="s">
        <v>145</v>
      </c>
      <c r="D738" s="228">
        <v>522000</v>
      </c>
      <c r="E738" s="246">
        <v>398250</v>
      </c>
    </row>
    <row r="739" spans="1:5" ht="17.25">
      <c r="A739" s="233">
        <f>38000+326000</f>
        <v>364000</v>
      </c>
      <c r="B739" s="236">
        <f t="shared" si="30"/>
        <v>269220</v>
      </c>
      <c r="C739" s="219" t="s">
        <v>3</v>
      </c>
      <c r="D739" s="228">
        <v>220400</v>
      </c>
      <c r="E739" s="246">
        <v>32100</v>
      </c>
    </row>
    <row r="740" spans="1:5" ht="17.25">
      <c r="A740" s="233">
        <f>446000+2811000</f>
        <v>3257000</v>
      </c>
      <c r="B740" s="236">
        <f t="shared" si="30"/>
        <v>1707015</v>
      </c>
      <c r="C740" s="219" t="s">
        <v>4</v>
      </c>
      <c r="D740" s="228">
        <v>220600</v>
      </c>
      <c r="E740" s="246">
        <v>246750</v>
      </c>
    </row>
    <row r="741" spans="1:5" ht="17.25">
      <c r="A741" s="233">
        <f>82000+24000+70500+366000+15000</f>
        <v>557500</v>
      </c>
      <c r="B741" s="236">
        <f t="shared" si="30"/>
        <v>234841</v>
      </c>
      <c r="C741" s="219" t="s">
        <v>5</v>
      </c>
      <c r="D741" s="228">
        <v>531000</v>
      </c>
      <c r="E741" s="246">
        <v>33630</v>
      </c>
    </row>
    <row r="742" spans="1:5" ht="17.25">
      <c r="A742" s="233">
        <f>1873000+40000+30000+30000+40000+20000+30000+20000+50000+30000+30000+90000+20000+50000+150000+1094250+10000+100000+550000+20000+200000+150000+165000+10000+30000+10000+10000+2000+120000</f>
        <v>4974250</v>
      </c>
      <c r="B742" s="236">
        <f t="shared" si="30"/>
        <v>2104660.5100000002</v>
      </c>
      <c r="C742" s="219" t="s">
        <v>6</v>
      </c>
      <c r="D742" s="228">
        <v>532000</v>
      </c>
      <c r="E742" s="246">
        <v>209439.7</v>
      </c>
    </row>
    <row r="743" spans="1:5" ht="17.25">
      <c r="A743" s="233">
        <f>150000+160000+90000+980000+100000+20000+50000+2061080+100000+210000</f>
        <v>3921080</v>
      </c>
      <c r="B743" s="236">
        <f t="shared" si="30"/>
        <v>820923.5399999999</v>
      </c>
      <c r="C743" s="219" t="s">
        <v>7</v>
      </c>
      <c r="D743" s="228">
        <v>533000</v>
      </c>
      <c r="E743" s="246">
        <v>44292</v>
      </c>
    </row>
    <row r="744" spans="1:5" ht="17.25">
      <c r="A744" s="233">
        <f>110000+770000+40000+10000</f>
        <v>930000</v>
      </c>
      <c r="B744" s="236">
        <f t="shared" si="30"/>
        <v>631129.2999999999</v>
      </c>
      <c r="C744" s="219" t="s">
        <v>8</v>
      </c>
      <c r="D744" s="228">
        <v>534000</v>
      </c>
      <c r="E744" s="246">
        <v>87338.91</v>
      </c>
    </row>
    <row r="745" spans="1:5" ht="17.25">
      <c r="A745" s="233">
        <f>100000+40500+13000+7000+21000+25000+8500+8000+132000+100000+59000+38000+38000+10000+25000</f>
        <v>625000</v>
      </c>
      <c r="B745" s="236">
        <f t="shared" si="30"/>
        <v>460991.7</v>
      </c>
      <c r="C745" s="219" t="s">
        <v>9</v>
      </c>
      <c r="D745" s="228">
        <v>541000</v>
      </c>
      <c r="E745" s="246">
        <v>74594</v>
      </c>
    </row>
    <row r="746" spans="1:5" ht="17.25">
      <c r="A746" s="233">
        <f>88700+239000+179300+132000+132000+71000+132000+147000+132000+141000+349000+177000+362000+370000+53600+145000+185000+110000+287000+300000+100000+40000+640000</f>
        <v>4512600</v>
      </c>
      <c r="B746" s="236">
        <f t="shared" si="30"/>
        <v>371490</v>
      </c>
      <c r="C746" s="219" t="s">
        <v>10</v>
      </c>
      <c r="D746" s="228">
        <v>542000</v>
      </c>
      <c r="E746" s="246">
        <v>15740</v>
      </c>
    </row>
    <row r="747" spans="1:5" ht="17.25">
      <c r="A747" s="233">
        <f>60000+268000+3877332</f>
        <v>4205332</v>
      </c>
      <c r="B747" s="236">
        <f t="shared" si="30"/>
        <v>3181000</v>
      </c>
      <c r="C747" s="219" t="s">
        <v>13</v>
      </c>
      <c r="D747" s="220">
        <v>560000</v>
      </c>
      <c r="E747" s="246">
        <v>944000</v>
      </c>
    </row>
    <row r="748" spans="1:5" ht="15.75">
      <c r="A748" s="233">
        <v>25000</v>
      </c>
      <c r="B748" s="236">
        <f t="shared" si="30"/>
        <v>0</v>
      </c>
      <c r="C748" s="219" t="s">
        <v>12</v>
      </c>
      <c r="D748" s="228">
        <v>550000</v>
      </c>
      <c r="E748" s="250">
        <v>0</v>
      </c>
    </row>
    <row r="749" spans="1:5" ht="16.5" thickBot="1">
      <c r="A749" s="237">
        <f>SUM(A736:A748)</f>
        <v>33020200</v>
      </c>
      <c r="B749" s="237">
        <f>SUM(B736:B748)</f>
        <v>15277418.78</v>
      </c>
      <c r="C749" s="224"/>
      <c r="D749" s="219"/>
      <c r="E749" s="237">
        <f>SUM(E736:E748)</f>
        <v>2801724.11</v>
      </c>
    </row>
    <row r="750" spans="1:5" ht="16.5" thickTop="1">
      <c r="A750" s="238"/>
      <c r="B750" s="236">
        <f>+E750+B649</f>
        <v>2785752</v>
      </c>
      <c r="C750" s="219" t="s">
        <v>493</v>
      </c>
      <c r="D750" s="228">
        <v>441000</v>
      </c>
      <c r="E750" s="233">
        <f>1540+84960+30800+297500</f>
        <v>414800</v>
      </c>
    </row>
    <row r="751" spans="1:5" ht="15.75">
      <c r="A751" s="239"/>
      <c r="B751" s="236">
        <f>+E751+B650</f>
        <v>4110000</v>
      </c>
      <c r="C751" s="219" t="s">
        <v>361</v>
      </c>
      <c r="D751" s="228">
        <v>441000</v>
      </c>
      <c r="E751" s="233">
        <v>0</v>
      </c>
    </row>
    <row r="752" spans="1:5" ht="15.75">
      <c r="A752" s="239"/>
      <c r="B752" s="236">
        <f>+E752+B651</f>
        <v>11628300</v>
      </c>
      <c r="C752" s="219" t="s">
        <v>584</v>
      </c>
      <c r="D752" s="228">
        <v>220101</v>
      </c>
      <c r="E752" s="233">
        <f>1187000+5005300</f>
        <v>6192300</v>
      </c>
    </row>
    <row r="753" spans="1:5" ht="15.75">
      <c r="A753" s="239"/>
      <c r="B753" s="236">
        <f aca="true" t="shared" si="31" ref="B753:B772">+E753+B652</f>
        <v>0</v>
      </c>
      <c r="C753" s="219" t="s">
        <v>25</v>
      </c>
      <c r="D753" s="228">
        <v>412210</v>
      </c>
      <c r="E753" s="233">
        <v>0</v>
      </c>
    </row>
    <row r="754" spans="1:5" ht="15.75">
      <c r="A754" s="239"/>
      <c r="B754" s="236">
        <f t="shared" si="31"/>
        <v>0</v>
      </c>
      <c r="C754" s="219" t="s">
        <v>134</v>
      </c>
      <c r="D754" s="220">
        <v>110202</v>
      </c>
      <c r="E754" s="233">
        <v>0</v>
      </c>
    </row>
    <row r="755" spans="1:5" ht="15.75">
      <c r="A755" s="239"/>
      <c r="B755" s="236">
        <f t="shared" si="31"/>
        <v>148388</v>
      </c>
      <c r="C755" s="219" t="s">
        <v>126</v>
      </c>
      <c r="D755" s="228">
        <v>110605</v>
      </c>
      <c r="E755" s="233">
        <v>0</v>
      </c>
    </row>
    <row r="756" spans="1:5" ht="15.75">
      <c r="A756" s="239"/>
      <c r="B756" s="236">
        <f t="shared" si="31"/>
        <v>3109600</v>
      </c>
      <c r="C756" s="219" t="s">
        <v>335</v>
      </c>
      <c r="D756" s="228">
        <v>110609</v>
      </c>
      <c r="E756" s="233">
        <v>70000</v>
      </c>
    </row>
    <row r="757" spans="1:5" ht="15.75">
      <c r="A757" s="239"/>
      <c r="B757" s="236">
        <f t="shared" si="31"/>
        <v>4058561</v>
      </c>
      <c r="C757" s="219" t="s">
        <v>135</v>
      </c>
      <c r="D757" s="220">
        <v>110606</v>
      </c>
      <c r="E757" s="233">
        <v>933100</v>
      </c>
    </row>
    <row r="758" spans="1:5" ht="15.75">
      <c r="A758" s="239"/>
      <c r="B758" s="236">
        <f t="shared" si="31"/>
        <v>179876.47999999998</v>
      </c>
      <c r="C758" s="219" t="s">
        <v>26</v>
      </c>
      <c r="D758" s="220">
        <v>230102</v>
      </c>
      <c r="E758" s="233">
        <v>74427.05</v>
      </c>
    </row>
    <row r="759" spans="1:5" ht="15.75">
      <c r="A759" s="239"/>
      <c r="B759" s="236">
        <f t="shared" si="31"/>
        <v>1018137</v>
      </c>
      <c r="C759" s="219" t="s">
        <v>323</v>
      </c>
      <c r="D759" s="220">
        <v>230108</v>
      </c>
      <c r="E759" s="233">
        <v>178625</v>
      </c>
    </row>
    <row r="760" spans="1:5" ht="15.75" hidden="1">
      <c r="A760" s="239"/>
      <c r="B760" s="236">
        <f t="shared" si="31"/>
        <v>0</v>
      </c>
      <c r="C760" s="219" t="s">
        <v>86</v>
      </c>
      <c r="D760" s="229">
        <v>230110</v>
      </c>
      <c r="E760" s="233">
        <v>0</v>
      </c>
    </row>
    <row r="761" spans="1:5" ht="15.75">
      <c r="A761" s="239"/>
      <c r="B761" s="236">
        <f t="shared" si="31"/>
        <v>27699.75</v>
      </c>
      <c r="C761" s="219" t="s">
        <v>331</v>
      </c>
      <c r="D761" s="229">
        <v>230109</v>
      </c>
      <c r="E761" s="233">
        <v>0</v>
      </c>
    </row>
    <row r="762" spans="1:5" ht="15.75">
      <c r="A762" s="239"/>
      <c r="B762" s="236">
        <f t="shared" si="31"/>
        <v>0</v>
      </c>
      <c r="C762" s="219" t="s">
        <v>346</v>
      </c>
      <c r="D762" s="229">
        <v>230111</v>
      </c>
      <c r="E762" s="233">
        <v>0</v>
      </c>
    </row>
    <row r="763" spans="1:5" ht="15.75">
      <c r="A763" s="239"/>
      <c r="B763" s="236">
        <f t="shared" si="31"/>
        <v>21159.5</v>
      </c>
      <c r="C763" s="219" t="s">
        <v>373</v>
      </c>
      <c r="D763" s="229">
        <v>230112</v>
      </c>
      <c r="E763" s="233">
        <v>7941.5</v>
      </c>
    </row>
    <row r="764" spans="1:5" ht="15.75" hidden="1">
      <c r="A764" s="239"/>
      <c r="B764" s="236">
        <f t="shared" si="31"/>
        <v>0</v>
      </c>
      <c r="C764" s="221" t="s">
        <v>461</v>
      </c>
      <c r="D764" s="220">
        <v>230113</v>
      </c>
      <c r="E764" s="233">
        <v>0</v>
      </c>
    </row>
    <row r="765" spans="1:5" ht="15.75">
      <c r="A765" s="239"/>
      <c r="B765" s="236">
        <f t="shared" si="31"/>
        <v>4592</v>
      </c>
      <c r="C765" s="221" t="s">
        <v>25</v>
      </c>
      <c r="D765" s="220">
        <v>230114</v>
      </c>
      <c r="E765" s="233">
        <v>0</v>
      </c>
    </row>
    <row r="766" spans="1:5" ht="15.75">
      <c r="A766" s="239"/>
      <c r="B766" s="236">
        <f t="shared" si="31"/>
        <v>20700</v>
      </c>
      <c r="C766" s="221" t="s">
        <v>318</v>
      </c>
      <c r="D766" s="220">
        <v>230115</v>
      </c>
      <c r="E766" s="233">
        <v>0</v>
      </c>
    </row>
    <row r="767" spans="1:5" ht="15.75">
      <c r="A767" s="239"/>
      <c r="B767" s="236">
        <f t="shared" si="31"/>
        <v>1500</v>
      </c>
      <c r="C767" s="221" t="s">
        <v>124</v>
      </c>
      <c r="D767" s="220">
        <v>230116</v>
      </c>
      <c r="E767" s="233">
        <v>0</v>
      </c>
    </row>
    <row r="768" spans="1:5" ht="15.75">
      <c r="A768" s="239"/>
      <c r="B768" s="236">
        <f t="shared" si="31"/>
        <v>0</v>
      </c>
      <c r="C768" s="219" t="s">
        <v>58</v>
      </c>
      <c r="D768" s="229">
        <v>210500</v>
      </c>
      <c r="E768" s="233">
        <v>0</v>
      </c>
    </row>
    <row r="769" spans="1:5" ht="15.75">
      <c r="A769" s="239"/>
      <c r="B769" s="236">
        <f t="shared" si="31"/>
        <v>3719044</v>
      </c>
      <c r="C769" s="219" t="s">
        <v>14</v>
      </c>
      <c r="D769" s="229">
        <v>210400</v>
      </c>
      <c r="E769" s="233">
        <v>0</v>
      </c>
    </row>
    <row r="770" spans="1:5" ht="15.75">
      <c r="A770" s="239"/>
      <c r="B770" s="236">
        <f t="shared" si="31"/>
        <v>521347.83</v>
      </c>
      <c r="C770" s="219" t="s">
        <v>15</v>
      </c>
      <c r="D770" s="220">
        <v>300000</v>
      </c>
      <c r="E770" s="233">
        <v>0</v>
      </c>
    </row>
    <row r="771" spans="1:5" ht="15.75" hidden="1">
      <c r="A771" s="239"/>
      <c r="B771" s="236">
        <f t="shared" si="31"/>
        <v>0</v>
      </c>
      <c r="C771" s="230" t="s">
        <v>348</v>
      </c>
      <c r="D771" s="220">
        <v>441000</v>
      </c>
      <c r="E771" s="233">
        <v>0</v>
      </c>
    </row>
    <row r="772" spans="1:5" ht="15.75" hidden="1">
      <c r="A772" s="239"/>
      <c r="B772" s="236">
        <f t="shared" si="31"/>
        <v>0</v>
      </c>
      <c r="C772" s="230" t="s">
        <v>394</v>
      </c>
      <c r="D772" s="220">
        <v>441000</v>
      </c>
      <c r="E772" s="233">
        <v>0</v>
      </c>
    </row>
    <row r="773" spans="1:5" ht="15.75">
      <c r="A773" s="239"/>
      <c r="B773" s="236"/>
      <c r="C773" s="230"/>
      <c r="D773" s="231"/>
      <c r="E773" s="233">
        <v>0</v>
      </c>
    </row>
    <row r="774" spans="1:5" ht="15.75">
      <c r="A774" s="239"/>
      <c r="B774" s="243">
        <f>SUM(B750:B773)</f>
        <v>31354657.56</v>
      </c>
      <c r="C774" s="230"/>
      <c r="D774" s="223"/>
      <c r="E774" s="243">
        <f>SUM(E750:E773)</f>
        <v>7871193.55</v>
      </c>
    </row>
    <row r="775" spans="1:5" ht="16.5" thickBot="1">
      <c r="A775" s="240"/>
      <c r="B775" s="237">
        <f>SUM(B774,B749)</f>
        <v>46632076.339999996</v>
      </c>
      <c r="C775" s="232" t="s">
        <v>31</v>
      </c>
      <c r="D775" s="223"/>
      <c r="E775" s="237">
        <f>SUM(E774,E749)</f>
        <v>10672917.66</v>
      </c>
    </row>
    <row r="776" spans="2:5" ht="16.5" thickTop="1">
      <c r="B776" s="219"/>
      <c r="C776" s="417" t="s">
        <v>146</v>
      </c>
      <c r="D776" s="223"/>
      <c r="E776" s="219"/>
    </row>
    <row r="777" spans="2:5" ht="15.75">
      <c r="B777" s="247"/>
      <c r="C777" s="417" t="s">
        <v>149</v>
      </c>
      <c r="D777" s="223"/>
      <c r="E777" s="247"/>
    </row>
    <row r="778" spans="2:5" ht="15.75">
      <c r="B778" s="247">
        <f>SUM(B727-B775)</f>
        <v>10101866.720000006</v>
      </c>
      <c r="C778" s="417" t="s">
        <v>147</v>
      </c>
      <c r="E778" s="247">
        <f>SUM(E727-E775)</f>
        <v>-1275836.5500000007</v>
      </c>
    </row>
    <row r="779" spans="2:6" ht="16.5" thickBot="1">
      <c r="B779" s="248">
        <f>SUM(B690+B727-B775)</f>
        <v>33166815.79</v>
      </c>
      <c r="C779" s="417" t="s">
        <v>148</v>
      </c>
      <c r="E779" s="248">
        <f>SUM(E690+E727-E775)</f>
        <v>33166815.789999988</v>
      </c>
      <c r="F779" s="102">
        <f>+งบดุลบัญชี!BA5</f>
        <v>33166815.79</v>
      </c>
    </row>
    <row r="780" spans="2:5" ht="16.5" thickTop="1">
      <c r="B780" s="249"/>
      <c r="C780" s="417"/>
      <c r="E780" s="249"/>
    </row>
    <row r="782" spans="1:5" ht="15.75">
      <c r="A782" s="484" t="s">
        <v>33</v>
      </c>
      <c r="B782" s="484"/>
      <c r="C782" s="416" t="s">
        <v>328</v>
      </c>
      <c r="D782" s="484" t="s">
        <v>327</v>
      </c>
      <c r="E782" s="484"/>
    </row>
    <row r="783" spans="1:5" ht="15.75">
      <c r="A783" s="484" t="s">
        <v>592</v>
      </c>
      <c r="B783" s="484"/>
      <c r="C783" s="416" t="s">
        <v>588</v>
      </c>
      <c r="D783" s="484" t="s">
        <v>38</v>
      </c>
      <c r="E783" s="484"/>
    </row>
    <row r="784" spans="1:3" ht="15.75">
      <c r="A784" s="484" t="s">
        <v>437</v>
      </c>
      <c r="B784" s="484"/>
      <c r="C784" s="416"/>
    </row>
  </sheetData>
  <sheetProtection/>
  <mergeCells count="64">
    <mergeCell ref="A783:B783"/>
    <mergeCell ref="D783:E783"/>
    <mergeCell ref="A784:B784"/>
    <mergeCell ref="A685:E685"/>
    <mergeCell ref="A687:B687"/>
    <mergeCell ref="A732:B732"/>
    <mergeCell ref="A782:B782"/>
    <mergeCell ref="D782:E782"/>
    <mergeCell ref="A682:B682"/>
    <mergeCell ref="D682:E682"/>
    <mergeCell ref="A683:B683"/>
    <mergeCell ref="A585:E585"/>
    <mergeCell ref="A587:B587"/>
    <mergeCell ref="A631:B631"/>
    <mergeCell ref="A681:B681"/>
    <mergeCell ref="D681:E681"/>
    <mergeCell ref="A484:B484"/>
    <mergeCell ref="D484:E484"/>
    <mergeCell ref="A485:B485"/>
    <mergeCell ref="A390:E390"/>
    <mergeCell ref="A392:B392"/>
    <mergeCell ref="A435:B435"/>
    <mergeCell ref="A483:B483"/>
    <mergeCell ref="D483:E483"/>
    <mergeCell ref="A387:B387"/>
    <mergeCell ref="D387:E387"/>
    <mergeCell ref="A388:B388"/>
    <mergeCell ref="A293:E293"/>
    <mergeCell ref="A295:B295"/>
    <mergeCell ref="A338:B338"/>
    <mergeCell ref="A386:B386"/>
    <mergeCell ref="D386:E386"/>
    <mergeCell ref="A290:B290"/>
    <mergeCell ref="D290:E290"/>
    <mergeCell ref="A291:B291"/>
    <mergeCell ref="A196:E196"/>
    <mergeCell ref="A198:B198"/>
    <mergeCell ref="A241:B241"/>
    <mergeCell ref="A289:B289"/>
    <mergeCell ref="D289:E289"/>
    <mergeCell ref="A96:B96"/>
    <mergeCell ref="D96:E96"/>
    <mergeCell ref="A97:B97"/>
    <mergeCell ref="A2:E2"/>
    <mergeCell ref="A4:B4"/>
    <mergeCell ref="A47:B47"/>
    <mergeCell ref="A95:B95"/>
    <mergeCell ref="D95:E95"/>
    <mergeCell ref="A193:B193"/>
    <mergeCell ref="D193:E193"/>
    <mergeCell ref="A194:B194"/>
    <mergeCell ref="A99:E99"/>
    <mergeCell ref="A101:B101"/>
    <mergeCell ref="A144:B144"/>
    <mergeCell ref="A192:B192"/>
    <mergeCell ref="D192:E192"/>
    <mergeCell ref="A582:B582"/>
    <mergeCell ref="D582:E582"/>
    <mergeCell ref="A583:B583"/>
    <mergeCell ref="A487:E487"/>
    <mergeCell ref="A489:B489"/>
    <mergeCell ref="A532:B532"/>
    <mergeCell ref="A581:B581"/>
    <mergeCell ref="D581:E581"/>
  </mergeCells>
  <printOptions/>
  <pageMargins left="0.748031496062992" right="0.301181102" top="0.734251969" bottom="0.25" header="0.433070866141732" footer="0.236220472440945"/>
  <pageSetup horizontalDpi="600" verticalDpi="600" orientation="portrait" paperSize="9" scale="85" r:id="rId1"/>
  <rowBreaks count="12" manualBreakCount="12">
    <brk id="46" max="4" man="1"/>
    <brk id="97" max="4" man="1"/>
    <brk id="143" max="4" man="1"/>
    <brk id="240" max="4" man="1"/>
    <brk id="337" max="4" man="1"/>
    <brk id="388" max="4" man="1"/>
    <brk id="434" max="4" man="1"/>
    <brk id="485" max="4" man="1"/>
    <brk id="531" max="4" man="1"/>
    <brk id="630" max="4" man="1"/>
    <brk id="683" max="4" man="1"/>
    <brk id="73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zoomScale="90" zoomScaleNormal="90" zoomScalePageLayoutView="0" workbookViewId="0" topLeftCell="A1">
      <selection activeCell="A19" sqref="A19"/>
    </sheetView>
  </sheetViews>
  <sheetFormatPr defaultColWidth="17.28125" defaultRowHeight="12.75"/>
  <cols>
    <col min="1" max="1" width="32.28125" style="354" customWidth="1"/>
    <col min="2" max="2" width="16.28125" style="356" customWidth="1"/>
    <col min="3" max="3" width="17.28125" style="355" customWidth="1"/>
    <col min="4" max="16384" width="17.28125" style="353" customWidth="1"/>
  </cols>
  <sheetData>
    <row r="1" spans="1:3" ht="26.25">
      <c r="A1" s="487" t="s">
        <v>554</v>
      </c>
      <c r="B1" s="487"/>
      <c r="C1" s="487"/>
    </row>
    <row r="2" spans="1:3" ht="26.25">
      <c r="A2" s="354" t="s">
        <v>292</v>
      </c>
      <c r="C2" s="355">
        <f>+'รับ-จ่ายเงินสด'!B405</f>
        <v>17768525.490000002</v>
      </c>
    </row>
    <row r="3" spans="1:3" ht="26.25">
      <c r="A3" s="354" t="s">
        <v>293</v>
      </c>
      <c r="C3" s="355">
        <f>+'รับ-จ่ายเงินสด'!B452</f>
        <v>9136459.220000003</v>
      </c>
    </row>
    <row r="4" spans="1:3" ht="26.25">
      <c r="A4" s="354" t="s">
        <v>294</v>
      </c>
      <c r="C4" s="355">
        <f>+C2-C3</f>
        <v>8632066.27</v>
      </c>
    </row>
    <row r="6" ht="26.25">
      <c r="A6" s="357" t="s">
        <v>532</v>
      </c>
    </row>
    <row r="7" spans="1:3" ht="26.25">
      <c r="A7" s="354" t="s">
        <v>404</v>
      </c>
      <c r="C7" s="355">
        <f>+กระดาษทำการกระทบยอด!X370+กระดาษทำการกระทบยอด!X382*2</f>
        <v>1423298</v>
      </c>
    </row>
    <row r="8" spans="1:3" ht="26.25">
      <c r="A8" s="354" t="s">
        <v>539</v>
      </c>
      <c r="C8" s="355">
        <f>+กระดาษทำการกระทบยอด!X424*2</f>
        <v>173841.96</v>
      </c>
    </row>
    <row r="9" spans="1:3" ht="26.25">
      <c r="A9" s="354" t="s">
        <v>540</v>
      </c>
      <c r="C9" s="355">
        <f>70000*2</f>
        <v>140000</v>
      </c>
    </row>
    <row r="10" spans="1:3" ht="26.25">
      <c r="A10" s="354" t="s">
        <v>536</v>
      </c>
      <c r="C10" s="355">
        <v>1030540</v>
      </c>
    </row>
    <row r="11" spans="1:6" ht="26.25" hidden="1">
      <c r="A11" s="354" t="s">
        <v>545</v>
      </c>
      <c r="B11" s="355">
        <f>260400+229600+1222000+8000+16000+642000</f>
        <v>2378000</v>
      </c>
      <c r="F11" s="355"/>
    </row>
    <row r="12" spans="1:3" ht="26.25">
      <c r="A12" s="354" t="s">
        <v>537</v>
      </c>
      <c r="C12" s="355">
        <v>16000</v>
      </c>
    </row>
    <row r="13" spans="1:3" ht="26.25">
      <c r="A13" s="354" t="s">
        <v>538</v>
      </c>
      <c r="C13" s="355">
        <v>138750</v>
      </c>
    </row>
    <row r="14" spans="1:3" ht="26.25">
      <c r="A14" s="354" t="s">
        <v>546</v>
      </c>
      <c r="C14" s="355">
        <f>SUM(C7:C13)</f>
        <v>2922429.96</v>
      </c>
    </row>
    <row r="17" spans="1:3" ht="26.25">
      <c r="A17" s="354" t="s">
        <v>555</v>
      </c>
      <c r="C17" s="355">
        <f>942700+42389.1+100000</f>
        <v>1085089.1</v>
      </c>
    </row>
    <row r="18" ht="26.25">
      <c r="A18" s="354" t="s">
        <v>556</v>
      </c>
    </row>
    <row r="19" spans="1:2" ht="26.25">
      <c r="A19" s="354" t="s">
        <v>533</v>
      </c>
      <c r="B19" s="356">
        <v>13000</v>
      </c>
    </row>
    <row r="20" spans="1:2" ht="26.25">
      <c r="A20" s="354" t="s">
        <v>534</v>
      </c>
      <c r="B20" s="356">
        <f>38000*2</f>
        <v>76000</v>
      </c>
    </row>
    <row r="21" spans="1:2" ht="26.25">
      <c r="A21" s="354" t="s">
        <v>535</v>
      </c>
      <c r="B21" s="356">
        <v>25000</v>
      </c>
    </row>
    <row r="22" spans="1:2" ht="26.25">
      <c r="A22" s="354" t="s">
        <v>543</v>
      </c>
      <c r="B22" s="356">
        <v>640000</v>
      </c>
    </row>
    <row r="23" spans="1:2" ht="26.25">
      <c r="A23" s="354" t="s">
        <v>544</v>
      </c>
      <c r="B23" s="356">
        <v>23000</v>
      </c>
    </row>
    <row r="24" spans="1:2" ht="26.25">
      <c r="A24" s="354" t="s">
        <v>557</v>
      </c>
      <c r="B24" s="356">
        <v>33500</v>
      </c>
    </row>
    <row r="25" spans="1:3" ht="26.25">
      <c r="A25" s="354" t="s">
        <v>541</v>
      </c>
      <c r="B25" s="356">
        <v>21000</v>
      </c>
      <c r="C25" s="355">
        <f>SUM(B19:B25)</f>
        <v>831500</v>
      </c>
    </row>
    <row r="28" spans="1:3" ht="26.25">
      <c r="A28" s="354" t="s">
        <v>542</v>
      </c>
      <c r="C28" s="355">
        <f>+C4-C14-C17-C25</f>
        <v>3793047.209999999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Z927"/>
  <sheetViews>
    <sheetView view="pageBreakPreview" zoomScaleNormal="110" zoomScaleSheetLayoutView="100" zoomScalePageLayoutView="0" workbookViewId="0" topLeftCell="A812">
      <pane xSplit="2" ySplit="5" topLeftCell="C817" activePane="bottomRight" state="frozen"/>
      <selection pane="topLeft" activeCell="A812" sqref="A812"/>
      <selection pane="topRight" activeCell="C812" sqref="C812"/>
      <selection pane="bottomLeft" activeCell="A817" sqref="A817"/>
      <selection pane="bottomRight" activeCell="E822" sqref="E822"/>
    </sheetView>
  </sheetViews>
  <sheetFormatPr defaultColWidth="9.140625" defaultRowHeight="21" customHeight="1"/>
  <cols>
    <col min="1" max="1" width="7.00390625" style="27" bestFit="1" customWidth="1"/>
    <col min="2" max="2" width="26.28125" style="27" customWidth="1"/>
    <col min="3" max="3" width="15.00390625" style="27" customWidth="1"/>
    <col min="4" max="4" width="14.140625" style="27" customWidth="1"/>
    <col min="5" max="5" width="13.8515625" style="27" customWidth="1"/>
    <col min="6" max="6" width="14.00390625" style="27" customWidth="1"/>
    <col min="7" max="7" width="13.8515625" style="27" customWidth="1"/>
    <col min="8" max="9" width="14.140625" style="27" customWidth="1"/>
    <col min="10" max="10" width="13.7109375" style="27" customWidth="1"/>
    <col min="11" max="11" width="14.57421875" style="27" hidden="1" customWidth="1"/>
    <col min="12" max="12" width="13.7109375" style="27" customWidth="1"/>
    <col min="13" max="13" width="12.8515625" style="27" customWidth="1"/>
    <col min="14" max="15" width="14.421875" style="27" customWidth="1"/>
    <col min="16" max="16" width="16.00390625" style="27" customWidth="1"/>
    <col min="17" max="17" width="15.7109375" style="27" customWidth="1"/>
    <col min="18" max="18" width="16.00390625" style="27" customWidth="1"/>
    <col min="19" max="19" width="13.140625" style="27" customWidth="1"/>
    <col min="20" max="20" width="13.00390625" style="27" customWidth="1"/>
    <col min="21" max="21" width="14.8515625" style="27" customWidth="1"/>
    <col min="22" max="22" width="14.28125" style="27" customWidth="1"/>
    <col min="23" max="23" width="14.421875" style="27" customWidth="1"/>
    <col min="24" max="24" width="14.28125" style="27" customWidth="1"/>
    <col min="25" max="25" width="15.28125" style="106" bestFit="1" customWidth="1"/>
    <col min="26" max="26" width="11.7109375" style="27" bestFit="1" customWidth="1"/>
    <col min="27" max="27" width="12.421875" style="27" bestFit="1" customWidth="1"/>
    <col min="28" max="16384" width="9.140625" style="27" customWidth="1"/>
  </cols>
  <sheetData>
    <row r="1" spans="1:24" ht="21" customHeight="1">
      <c r="A1" s="502" t="s">
        <v>364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312"/>
      <c r="P1" s="503" t="str">
        <f>+A1</f>
        <v>เทศบาลตำบลเขาพระ อำเภอพิปูน จังหวัดนครศรีธรรมราช</v>
      </c>
      <c r="Q1" s="503"/>
      <c r="R1" s="503"/>
      <c r="S1" s="503"/>
      <c r="T1" s="503"/>
      <c r="U1" s="503"/>
      <c r="V1" s="503"/>
      <c r="W1" s="503"/>
      <c r="X1" s="503"/>
    </row>
    <row r="2" spans="1:24" ht="21" customHeight="1">
      <c r="A2" s="502" t="s">
        <v>193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312"/>
      <c r="P2" s="504" t="s">
        <v>193</v>
      </c>
      <c r="Q2" s="504"/>
      <c r="R2" s="504"/>
      <c r="S2" s="504"/>
      <c r="T2" s="504"/>
      <c r="U2" s="504"/>
      <c r="V2" s="504"/>
      <c r="W2" s="504"/>
      <c r="X2" s="504"/>
    </row>
    <row r="3" spans="1:24" ht="21" customHeight="1">
      <c r="A3" s="505" t="s">
        <v>468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313"/>
      <c r="P3" s="506" t="s">
        <v>468</v>
      </c>
      <c r="Q3" s="506"/>
      <c r="R3" s="506"/>
      <c r="S3" s="506"/>
      <c r="T3" s="506"/>
      <c r="U3" s="506"/>
      <c r="V3" s="506"/>
      <c r="W3" s="506"/>
      <c r="X3" s="506"/>
    </row>
    <row r="4" spans="1:24" ht="21" customHeight="1">
      <c r="A4" s="497" t="s">
        <v>194</v>
      </c>
      <c r="B4" s="497"/>
      <c r="C4" s="496" t="s">
        <v>196</v>
      </c>
      <c r="D4" s="496"/>
      <c r="E4" s="499" t="s">
        <v>199</v>
      </c>
      <c r="F4" s="500"/>
      <c r="G4" s="496" t="s">
        <v>201</v>
      </c>
      <c r="H4" s="497"/>
      <c r="I4" s="499" t="s">
        <v>215</v>
      </c>
      <c r="J4" s="500"/>
      <c r="K4" s="297" t="s">
        <v>216</v>
      </c>
      <c r="L4" s="499" t="s">
        <v>217</v>
      </c>
      <c r="M4" s="501"/>
      <c r="N4" s="500"/>
      <c r="O4" s="499" t="s">
        <v>218</v>
      </c>
      <c r="P4" s="500"/>
      <c r="Q4" s="499" t="s">
        <v>219</v>
      </c>
      <c r="R4" s="501"/>
      <c r="S4" s="500"/>
      <c r="T4" s="496" t="s">
        <v>220</v>
      </c>
      <c r="U4" s="497"/>
      <c r="V4" s="297" t="s">
        <v>284</v>
      </c>
      <c r="W4" s="297" t="s">
        <v>221</v>
      </c>
      <c r="X4" s="498" t="s">
        <v>17</v>
      </c>
    </row>
    <row r="5" spans="1:24" ht="21" customHeight="1">
      <c r="A5" s="497" t="s">
        <v>195</v>
      </c>
      <c r="B5" s="497"/>
      <c r="C5" s="297" t="s">
        <v>197</v>
      </c>
      <c r="D5" s="297" t="s">
        <v>198</v>
      </c>
      <c r="E5" s="310" t="s">
        <v>200</v>
      </c>
      <c r="F5" s="297" t="s">
        <v>288</v>
      </c>
      <c r="G5" s="297" t="s">
        <v>202</v>
      </c>
      <c r="H5" s="297" t="s">
        <v>203</v>
      </c>
      <c r="I5" s="310" t="s">
        <v>204</v>
      </c>
      <c r="J5" s="297" t="s">
        <v>205</v>
      </c>
      <c r="K5" s="297" t="s">
        <v>206</v>
      </c>
      <c r="L5" s="297" t="s">
        <v>207</v>
      </c>
      <c r="M5" s="297" t="s">
        <v>208</v>
      </c>
      <c r="N5" s="297" t="s">
        <v>334</v>
      </c>
      <c r="O5" s="311" t="s">
        <v>471</v>
      </c>
      <c r="P5" s="298" t="s">
        <v>209</v>
      </c>
      <c r="Q5" s="297" t="s">
        <v>210</v>
      </c>
      <c r="R5" s="297" t="s">
        <v>211</v>
      </c>
      <c r="S5" s="297" t="s">
        <v>290</v>
      </c>
      <c r="T5" s="297" t="s">
        <v>212</v>
      </c>
      <c r="U5" s="297" t="s">
        <v>213</v>
      </c>
      <c r="V5" s="297" t="s">
        <v>285</v>
      </c>
      <c r="W5" s="297" t="s">
        <v>214</v>
      </c>
      <c r="X5" s="498"/>
    </row>
    <row r="6" spans="1:24" ht="21" customHeight="1">
      <c r="A6" s="488" t="s">
        <v>268</v>
      </c>
      <c r="B6" s="489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91"/>
      <c r="P6" s="191"/>
      <c r="Q6" s="107"/>
      <c r="R6" s="107"/>
      <c r="S6" s="107"/>
      <c r="T6" s="107"/>
      <c r="U6" s="107"/>
      <c r="V6" s="107"/>
      <c r="W6" s="107"/>
      <c r="X6" s="107"/>
    </row>
    <row r="7" spans="1:24" ht="21" customHeight="1">
      <c r="A7" s="108">
        <v>110300</v>
      </c>
      <c r="B7" s="109" t="s">
        <v>222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192"/>
      <c r="P7" s="192"/>
      <c r="Q7" s="76"/>
      <c r="R7" s="76"/>
      <c r="S7" s="76"/>
      <c r="T7" s="76"/>
      <c r="U7" s="76"/>
      <c r="V7" s="76"/>
      <c r="W7" s="76">
        <v>8514</v>
      </c>
      <c r="X7" s="110">
        <f>SUM(C7:W7)</f>
        <v>8514</v>
      </c>
    </row>
    <row r="8" spans="1:24" ht="21" customHeight="1">
      <c r="A8" s="108">
        <v>110700</v>
      </c>
      <c r="B8" s="109" t="s">
        <v>123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192"/>
      <c r="P8" s="192"/>
      <c r="Q8" s="76"/>
      <c r="R8" s="76"/>
      <c r="S8" s="76"/>
      <c r="T8" s="76"/>
      <c r="U8" s="76"/>
      <c r="V8" s="76"/>
      <c r="W8" s="76"/>
      <c r="X8" s="110">
        <f aca="true" t="shared" si="0" ref="X8:X13">SUM(C8:W8)</f>
        <v>0</v>
      </c>
    </row>
    <row r="9" spans="1:24" ht="21" customHeight="1">
      <c r="A9" s="108">
        <v>110800</v>
      </c>
      <c r="B9" s="109" t="s">
        <v>129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92"/>
      <c r="P9" s="192"/>
      <c r="Q9" s="76"/>
      <c r="R9" s="76"/>
      <c r="S9" s="76"/>
      <c r="T9" s="76"/>
      <c r="U9" s="76"/>
      <c r="V9" s="76"/>
      <c r="W9" s="76"/>
      <c r="X9" s="110">
        <f t="shared" si="0"/>
        <v>0</v>
      </c>
    </row>
    <row r="10" spans="1:24" ht="21" customHeight="1">
      <c r="A10" s="108">
        <v>110900</v>
      </c>
      <c r="B10" s="109" t="s">
        <v>130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192"/>
      <c r="P10" s="192"/>
      <c r="Q10" s="76"/>
      <c r="R10" s="76"/>
      <c r="S10" s="76"/>
      <c r="T10" s="76"/>
      <c r="U10" s="76"/>
      <c r="V10" s="76"/>
      <c r="W10" s="76">
        <v>8000</v>
      </c>
      <c r="X10" s="110">
        <f t="shared" si="0"/>
        <v>8000</v>
      </c>
    </row>
    <row r="11" spans="1:24" ht="21" customHeight="1">
      <c r="A11" s="108">
        <v>111000</v>
      </c>
      <c r="B11" s="109" t="s">
        <v>131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192"/>
      <c r="P11" s="192"/>
      <c r="Q11" s="76"/>
      <c r="R11" s="76"/>
      <c r="S11" s="76"/>
      <c r="T11" s="76"/>
      <c r="U11" s="76"/>
      <c r="V11" s="76"/>
      <c r="W11" s="76"/>
      <c r="X11" s="110">
        <f t="shared" si="0"/>
        <v>0</v>
      </c>
    </row>
    <row r="12" spans="1:24" ht="21" customHeight="1">
      <c r="A12" s="108">
        <v>111100</v>
      </c>
      <c r="B12" s="109" t="s">
        <v>224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192"/>
      <c r="P12" s="192"/>
      <c r="Q12" s="76"/>
      <c r="R12" s="76"/>
      <c r="S12" s="76"/>
      <c r="T12" s="76"/>
      <c r="U12" s="76"/>
      <c r="V12" s="76"/>
      <c r="W12" s="76"/>
      <c r="X12" s="110">
        <f t="shared" si="0"/>
        <v>0</v>
      </c>
    </row>
    <row r="13" spans="1:24" ht="21" customHeight="1">
      <c r="A13" s="108">
        <v>111100</v>
      </c>
      <c r="B13" s="109" t="s">
        <v>451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192"/>
      <c r="P13" s="192"/>
      <c r="Q13" s="76"/>
      <c r="R13" s="76"/>
      <c r="S13" s="76"/>
      <c r="T13" s="76"/>
      <c r="U13" s="76"/>
      <c r="V13" s="76"/>
      <c r="W13" s="76"/>
      <c r="X13" s="110">
        <f t="shared" si="0"/>
        <v>0</v>
      </c>
    </row>
    <row r="14" spans="1:24" ht="21" customHeight="1">
      <c r="A14" s="111">
        <v>120100</v>
      </c>
      <c r="B14" s="112" t="s">
        <v>223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193"/>
      <c r="P14" s="193"/>
      <c r="Q14" s="87"/>
      <c r="R14" s="87"/>
      <c r="S14" s="87"/>
      <c r="T14" s="87"/>
      <c r="U14" s="87"/>
      <c r="V14" s="87"/>
      <c r="W14" s="87"/>
      <c r="X14" s="113">
        <f>SUM(C14:W14)</f>
        <v>0</v>
      </c>
    </row>
    <row r="15" spans="1:25" ht="21" customHeight="1">
      <c r="A15" s="490" t="s">
        <v>230</v>
      </c>
      <c r="B15" s="491"/>
      <c r="C15" s="110">
        <f>SUM(C7:C14)</f>
        <v>0</v>
      </c>
      <c r="D15" s="110">
        <f aca="true" t="shared" si="1" ref="D15:L15">SUM(D7:D14)</f>
        <v>0</v>
      </c>
      <c r="E15" s="110">
        <f t="shared" si="1"/>
        <v>0</v>
      </c>
      <c r="F15" s="110">
        <f t="shared" si="1"/>
        <v>0</v>
      </c>
      <c r="G15" s="110">
        <f t="shared" si="1"/>
        <v>0</v>
      </c>
      <c r="H15" s="110">
        <f t="shared" si="1"/>
        <v>0</v>
      </c>
      <c r="I15" s="110">
        <f t="shared" si="1"/>
        <v>0</v>
      </c>
      <c r="J15" s="110">
        <f t="shared" si="1"/>
        <v>0</v>
      </c>
      <c r="K15" s="110">
        <f t="shared" si="1"/>
        <v>0</v>
      </c>
      <c r="L15" s="110">
        <f t="shared" si="1"/>
        <v>0</v>
      </c>
      <c r="M15" s="110">
        <f>SUM(M7:M14)</f>
        <v>0</v>
      </c>
      <c r="N15" s="110">
        <f>SUM(N7:N14)</f>
        <v>0</v>
      </c>
      <c r="O15" s="110">
        <f>SUM(O7:O14)</f>
        <v>0</v>
      </c>
      <c r="P15" s="110">
        <f>SUM(P7:P14)</f>
        <v>0</v>
      </c>
      <c r="Q15" s="110">
        <f>SUM(Q7:Q14)</f>
        <v>0</v>
      </c>
      <c r="R15" s="110">
        <f>SUM(R7:R14)</f>
        <v>0</v>
      </c>
      <c r="S15" s="110"/>
      <c r="T15" s="110">
        <f>SUM(T7:T14)</f>
        <v>0</v>
      </c>
      <c r="U15" s="110">
        <f>SUM(U7:U14)</f>
        <v>0</v>
      </c>
      <c r="V15" s="110">
        <f>SUM(V7:V14)</f>
        <v>0</v>
      </c>
      <c r="W15" s="110">
        <f>SUM(W7:W14)</f>
        <v>16514</v>
      </c>
      <c r="X15" s="110">
        <f>SUM(C15:W15)</f>
        <v>16514</v>
      </c>
      <c r="Y15" s="106">
        <f>+'[4]ใบผ่านรายการบัญชีมาตรฐาน'!$F$54</f>
        <v>0</v>
      </c>
    </row>
    <row r="16" spans="1:24" ht="21" customHeight="1">
      <c r="A16" s="492" t="s">
        <v>231</v>
      </c>
      <c r="B16" s="493"/>
      <c r="C16" s="114">
        <f>+C15</f>
        <v>0</v>
      </c>
      <c r="D16" s="114">
        <f aca="true" t="shared" si="2" ref="D16:X16">+D15</f>
        <v>0</v>
      </c>
      <c r="E16" s="114">
        <f t="shared" si="2"/>
        <v>0</v>
      </c>
      <c r="F16" s="114">
        <f t="shared" si="2"/>
        <v>0</v>
      </c>
      <c r="G16" s="114">
        <f t="shared" si="2"/>
        <v>0</v>
      </c>
      <c r="H16" s="114">
        <f t="shared" si="2"/>
        <v>0</v>
      </c>
      <c r="I16" s="114">
        <f t="shared" si="2"/>
        <v>0</v>
      </c>
      <c r="J16" s="114">
        <f t="shared" si="2"/>
        <v>0</v>
      </c>
      <c r="K16" s="114">
        <f t="shared" si="2"/>
        <v>0</v>
      </c>
      <c r="L16" s="114">
        <f t="shared" si="2"/>
        <v>0</v>
      </c>
      <c r="M16" s="114">
        <f t="shared" si="2"/>
        <v>0</v>
      </c>
      <c r="N16" s="114">
        <f t="shared" si="2"/>
        <v>0</v>
      </c>
      <c r="O16" s="114">
        <f t="shared" si="2"/>
        <v>0</v>
      </c>
      <c r="P16" s="114">
        <f t="shared" si="2"/>
        <v>0</v>
      </c>
      <c r="Q16" s="114">
        <f t="shared" si="2"/>
        <v>0</v>
      </c>
      <c r="R16" s="114">
        <f t="shared" si="2"/>
        <v>0</v>
      </c>
      <c r="S16" s="114">
        <f t="shared" si="2"/>
        <v>0</v>
      </c>
      <c r="T16" s="114">
        <f t="shared" si="2"/>
        <v>0</v>
      </c>
      <c r="U16" s="114">
        <f t="shared" si="2"/>
        <v>0</v>
      </c>
      <c r="V16" s="114">
        <f t="shared" si="2"/>
        <v>0</v>
      </c>
      <c r="W16" s="114">
        <f t="shared" si="2"/>
        <v>16514</v>
      </c>
      <c r="X16" s="114">
        <f t="shared" si="2"/>
        <v>16514</v>
      </c>
    </row>
    <row r="17" spans="1:24" ht="21" customHeight="1">
      <c r="A17" s="488" t="s">
        <v>269</v>
      </c>
      <c r="B17" s="489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95"/>
      <c r="P17" s="195"/>
      <c r="Q17" s="115"/>
      <c r="R17" s="115"/>
      <c r="S17" s="115"/>
      <c r="T17" s="115"/>
      <c r="U17" s="115"/>
      <c r="V17" s="115"/>
      <c r="W17" s="115"/>
      <c r="X17" s="116">
        <f aca="true" t="shared" si="3" ref="X17:X22">SUM(C17:W17)</f>
        <v>0</v>
      </c>
    </row>
    <row r="18" spans="1:24" ht="21" customHeight="1">
      <c r="A18" s="108">
        <v>210100</v>
      </c>
      <c r="B18" s="73" t="s">
        <v>225</v>
      </c>
      <c r="C18" s="76">
        <v>57960</v>
      </c>
      <c r="D18" s="76">
        <v>0</v>
      </c>
      <c r="E18" s="76"/>
      <c r="F18" s="76"/>
      <c r="G18" s="76"/>
      <c r="H18" s="76"/>
      <c r="I18" s="76"/>
      <c r="J18" s="76"/>
      <c r="K18" s="76"/>
      <c r="L18" s="76">
        <v>0</v>
      </c>
      <c r="M18" s="76"/>
      <c r="N18" s="76"/>
      <c r="O18" s="192"/>
      <c r="P18" s="192"/>
      <c r="Q18" s="76"/>
      <c r="R18" s="76"/>
      <c r="S18" s="76"/>
      <c r="T18" s="76"/>
      <c r="U18" s="76"/>
      <c r="V18" s="76"/>
      <c r="W18" s="76"/>
      <c r="X18" s="110">
        <f t="shared" si="3"/>
        <v>57960</v>
      </c>
    </row>
    <row r="19" spans="1:24" ht="21" customHeight="1">
      <c r="A19" s="108">
        <v>210200</v>
      </c>
      <c r="B19" s="73" t="s">
        <v>229</v>
      </c>
      <c r="C19" s="76">
        <v>10000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192"/>
      <c r="P19" s="192"/>
      <c r="Q19" s="76"/>
      <c r="R19" s="76"/>
      <c r="S19" s="76"/>
      <c r="T19" s="76"/>
      <c r="U19" s="76"/>
      <c r="V19" s="76"/>
      <c r="W19" s="76"/>
      <c r="X19" s="110">
        <f t="shared" si="3"/>
        <v>10000</v>
      </c>
    </row>
    <row r="20" spans="1:24" ht="21" customHeight="1">
      <c r="A20" s="108">
        <v>210300</v>
      </c>
      <c r="B20" s="73" t="s">
        <v>226</v>
      </c>
      <c r="C20" s="76">
        <v>10000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192"/>
      <c r="P20" s="192"/>
      <c r="Q20" s="76"/>
      <c r="R20" s="76"/>
      <c r="S20" s="76"/>
      <c r="T20" s="76"/>
      <c r="U20" s="76"/>
      <c r="V20" s="76"/>
      <c r="W20" s="76"/>
      <c r="X20" s="110">
        <f t="shared" si="3"/>
        <v>10000</v>
      </c>
    </row>
    <row r="21" spans="1:24" ht="21" customHeight="1">
      <c r="A21" s="108">
        <v>210400</v>
      </c>
      <c r="B21" s="73" t="s">
        <v>227</v>
      </c>
      <c r="C21" s="76">
        <v>11574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92"/>
      <c r="P21" s="192"/>
      <c r="Q21" s="76"/>
      <c r="R21" s="76"/>
      <c r="S21" s="76"/>
      <c r="T21" s="76"/>
      <c r="U21" s="76"/>
      <c r="V21" s="76"/>
      <c r="W21" s="76"/>
      <c r="X21" s="110">
        <f t="shared" si="3"/>
        <v>11574</v>
      </c>
    </row>
    <row r="22" spans="1:24" ht="21" customHeight="1">
      <c r="A22" s="111">
        <v>210600</v>
      </c>
      <c r="B22" s="74" t="s">
        <v>228</v>
      </c>
      <c r="C22" s="76">
        <v>124200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193"/>
      <c r="P22" s="193"/>
      <c r="Q22" s="87"/>
      <c r="R22" s="87"/>
      <c r="S22" s="87"/>
      <c r="T22" s="87"/>
      <c r="U22" s="87"/>
      <c r="V22" s="87"/>
      <c r="W22" s="87"/>
      <c r="X22" s="113">
        <f t="shared" si="3"/>
        <v>124200</v>
      </c>
    </row>
    <row r="23" spans="1:25" ht="21" customHeight="1">
      <c r="A23" s="490" t="s">
        <v>230</v>
      </c>
      <c r="B23" s="491"/>
      <c r="C23" s="110">
        <f>SUM(C18:C22)</f>
        <v>213734</v>
      </c>
      <c r="D23" s="110">
        <f>SUM(D17:D22)</f>
        <v>0</v>
      </c>
      <c r="E23" s="110">
        <f>SUM(E17:E22)</f>
        <v>0</v>
      </c>
      <c r="F23" s="110">
        <f aca="true" t="shared" si="4" ref="F23:L23">SUM(F17:F22)</f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0</v>
      </c>
      <c r="M23" s="110">
        <f>SUM(M17:M22)</f>
        <v>0</v>
      </c>
      <c r="N23" s="110">
        <f>SUM(N17:N22)</f>
        <v>0</v>
      </c>
      <c r="O23" s="110">
        <f>SUM(O17:O22)</f>
        <v>0</v>
      </c>
      <c r="P23" s="110">
        <f>SUM(P17:P22)</f>
        <v>0</v>
      </c>
      <c r="Q23" s="110">
        <f>SUM(Q17:Q22)</f>
        <v>0</v>
      </c>
      <c r="R23" s="110">
        <f>SUM(R17:R22)</f>
        <v>0</v>
      </c>
      <c r="S23" s="110"/>
      <c r="T23" s="110">
        <f>SUM(T17:T22)</f>
        <v>0</v>
      </c>
      <c r="U23" s="110">
        <f>SUM(U17:U22)</f>
        <v>0</v>
      </c>
      <c r="V23" s="110">
        <f>SUM(V17:V22)</f>
        <v>0</v>
      </c>
      <c r="W23" s="110">
        <f>SUM(W17:W22)</f>
        <v>0</v>
      </c>
      <c r="X23" s="110">
        <f>SUM(C23:W23)</f>
        <v>213734</v>
      </c>
      <c r="Y23" s="106">
        <f>+'[4]ใบผ่านรายการบัญชีมาตรฐาน'!$F$55</f>
        <v>0</v>
      </c>
    </row>
    <row r="24" spans="1:24" ht="21" customHeight="1">
      <c r="A24" s="492" t="s">
        <v>231</v>
      </c>
      <c r="B24" s="493"/>
      <c r="C24" s="110">
        <f>+C23</f>
        <v>213734</v>
      </c>
      <c r="D24" s="110">
        <f aca="true" t="shared" si="5" ref="D24:X24">+D23</f>
        <v>0</v>
      </c>
      <c r="E24" s="110">
        <f>+E23</f>
        <v>0</v>
      </c>
      <c r="F24" s="110">
        <f t="shared" si="5"/>
        <v>0</v>
      </c>
      <c r="G24" s="110">
        <f t="shared" si="5"/>
        <v>0</v>
      </c>
      <c r="H24" s="110">
        <f t="shared" si="5"/>
        <v>0</v>
      </c>
      <c r="I24" s="110">
        <f t="shared" si="5"/>
        <v>0</v>
      </c>
      <c r="J24" s="110">
        <f t="shared" si="5"/>
        <v>0</v>
      </c>
      <c r="K24" s="110">
        <f t="shared" si="5"/>
        <v>0</v>
      </c>
      <c r="L24" s="110">
        <f t="shared" si="5"/>
        <v>0</v>
      </c>
      <c r="M24" s="110">
        <f t="shared" si="5"/>
        <v>0</v>
      </c>
      <c r="N24" s="110">
        <f t="shared" si="5"/>
        <v>0</v>
      </c>
      <c r="O24" s="110">
        <f t="shared" si="5"/>
        <v>0</v>
      </c>
      <c r="P24" s="110">
        <f t="shared" si="5"/>
        <v>0</v>
      </c>
      <c r="Q24" s="110">
        <f t="shared" si="5"/>
        <v>0</v>
      </c>
      <c r="R24" s="110">
        <f t="shared" si="5"/>
        <v>0</v>
      </c>
      <c r="S24" s="110">
        <f t="shared" si="5"/>
        <v>0</v>
      </c>
      <c r="T24" s="110">
        <f t="shared" si="5"/>
        <v>0</v>
      </c>
      <c r="U24" s="110">
        <f t="shared" si="5"/>
        <v>0</v>
      </c>
      <c r="V24" s="110">
        <f t="shared" si="5"/>
        <v>0</v>
      </c>
      <c r="W24" s="110">
        <f t="shared" si="5"/>
        <v>0</v>
      </c>
      <c r="X24" s="110">
        <f t="shared" si="5"/>
        <v>213734</v>
      </c>
    </row>
    <row r="25" spans="1:24" ht="21" customHeight="1">
      <c r="A25" s="488" t="s">
        <v>270</v>
      </c>
      <c r="B25" s="489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95"/>
      <c r="P25" s="195"/>
      <c r="Q25" s="115"/>
      <c r="R25" s="115"/>
      <c r="S25" s="115"/>
      <c r="T25" s="115"/>
      <c r="U25" s="115"/>
      <c r="V25" s="115"/>
      <c r="W25" s="115"/>
      <c r="X25" s="116">
        <f aca="true" t="shared" si="6" ref="X25:X30">SUM(C25:W25)</f>
        <v>0</v>
      </c>
    </row>
    <row r="26" spans="1:24" ht="21" customHeight="1">
      <c r="A26" s="108">
        <v>220100</v>
      </c>
      <c r="B26" s="73" t="s">
        <v>232</v>
      </c>
      <c r="C26" s="76">
        <v>171880</v>
      </c>
      <c r="D26" s="76">
        <v>60560</v>
      </c>
      <c r="E26" s="76">
        <v>20770</v>
      </c>
      <c r="F26" s="76">
        <v>0</v>
      </c>
      <c r="G26" s="76"/>
      <c r="H26" s="76"/>
      <c r="I26" s="76"/>
      <c r="J26" s="76"/>
      <c r="K26" s="76"/>
      <c r="L26" s="76">
        <v>47498</v>
      </c>
      <c r="M26" s="76"/>
      <c r="N26" s="76"/>
      <c r="O26" s="192">
        <v>16960</v>
      </c>
      <c r="P26" s="192"/>
      <c r="Q26" s="76"/>
      <c r="R26" s="76"/>
      <c r="S26" s="76"/>
      <c r="T26" s="76"/>
      <c r="U26" s="76"/>
      <c r="V26" s="76"/>
      <c r="W26" s="76"/>
      <c r="X26" s="110">
        <f t="shared" si="6"/>
        <v>317668</v>
      </c>
    </row>
    <row r="27" spans="1:24" ht="21" customHeight="1">
      <c r="A27" s="108">
        <v>220200</v>
      </c>
      <c r="B27" s="73" t="s">
        <v>233</v>
      </c>
      <c r="C27" s="76">
        <v>5600</v>
      </c>
      <c r="D27" s="76">
        <v>655</v>
      </c>
      <c r="E27" s="76"/>
      <c r="F27" s="76"/>
      <c r="G27" s="76"/>
      <c r="H27" s="76"/>
      <c r="I27" s="76"/>
      <c r="J27" s="76"/>
      <c r="K27" s="76"/>
      <c r="L27" s="76">
        <v>0</v>
      </c>
      <c r="M27" s="76"/>
      <c r="N27" s="76"/>
      <c r="O27" s="192"/>
      <c r="P27" s="192"/>
      <c r="Q27" s="76"/>
      <c r="R27" s="76"/>
      <c r="S27" s="76"/>
      <c r="T27" s="76"/>
      <c r="U27" s="76"/>
      <c r="V27" s="76"/>
      <c r="W27" s="76"/>
      <c r="X27" s="110">
        <f t="shared" si="6"/>
        <v>6255</v>
      </c>
    </row>
    <row r="28" spans="1:24" ht="21" customHeight="1">
      <c r="A28" s="108">
        <v>220300</v>
      </c>
      <c r="B28" s="73" t="s">
        <v>234</v>
      </c>
      <c r="C28" s="76">
        <v>9100</v>
      </c>
      <c r="D28" s="76">
        <v>0</v>
      </c>
      <c r="E28" s="76"/>
      <c r="F28" s="76"/>
      <c r="G28" s="76"/>
      <c r="H28" s="76"/>
      <c r="I28" s="76"/>
      <c r="J28" s="76"/>
      <c r="K28" s="76"/>
      <c r="L28" s="76">
        <v>0</v>
      </c>
      <c r="M28" s="76"/>
      <c r="N28" s="76"/>
      <c r="O28" s="192"/>
      <c r="P28" s="192"/>
      <c r="Q28" s="76"/>
      <c r="R28" s="76"/>
      <c r="S28" s="76"/>
      <c r="T28" s="76"/>
      <c r="U28" s="76"/>
      <c r="V28" s="76"/>
      <c r="W28" s="76"/>
      <c r="X28" s="110">
        <f t="shared" si="6"/>
        <v>9100</v>
      </c>
    </row>
    <row r="29" spans="1:24" ht="21" customHeight="1">
      <c r="A29" s="108">
        <v>220400</v>
      </c>
      <c r="B29" s="73" t="s">
        <v>3</v>
      </c>
      <c r="C29" s="76"/>
      <c r="D29" s="76">
        <v>25160</v>
      </c>
      <c r="E29" s="76"/>
      <c r="F29" s="76"/>
      <c r="G29" s="76"/>
      <c r="H29" s="76"/>
      <c r="I29" s="76"/>
      <c r="J29" s="76"/>
      <c r="K29" s="76"/>
      <c r="L29" s="76">
        <v>0</v>
      </c>
      <c r="M29" s="76"/>
      <c r="N29" s="76"/>
      <c r="O29" s="192"/>
      <c r="P29" s="192"/>
      <c r="Q29" s="76"/>
      <c r="R29" s="76"/>
      <c r="S29" s="76"/>
      <c r="T29" s="76"/>
      <c r="U29" s="76"/>
      <c r="V29" s="76"/>
      <c r="W29" s="76"/>
      <c r="X29" s="110">
        <f t="shared" si="6"/>
        <v>25160</v>
      </c>
    </row>
    <row r="30" spans="1:24" ht="21" customHeight="1">
      <c r="A30" s="108">
        <v>220500</v>
      </c>
      <c r="B30" s="73" t="s">
        <v>235</v>
      </c>
      <c r="C30" s="76"/>
      <c r="D30" s="76">
        <v>2125</v>
      </c>
      <c r="E30" s="76"/>
      <c r="F30" s="76"/>
      <c r="G30" s="76"/>
      <c r="H30" s="76"/>
      <c r="I30" s="76"/>
      <c r="J30" s="76"/>
      <c r="K30" s="76"/>
      <c r="L30" s="76">
        <v>0</v>
      </c>
      <c r="M30" s="76"/>
      <c r="N30" s="76"/>
      <c r="O30" s="192"/>
      <c r="P30" s="192"/>
      <c r="Q30" s="76"/>
      <c r="R30" s="76"/>
      <c r="S30" s="76"/>
      <c r="T30" s="76"/>
      <c r="U30" s="76"/>
      <c r="V30" s="76"/>
      <c r="W30" s="76"/>
      <c r="X30" s="110">
        <f t="shared" si="6"/>
        <v>2125</v>
      </c>
    </row>
    <row r="31" spans="1:24" ht="21" customHeight="1">
      <c r="A31" s="497" t="s">
        <v>194</v>
      </c>
      <c r="B31" s="497"/>
      <c r="C31" s="496" t="s">
        <v>196</v>
      </c>
      <c r="D31" s="496"/>
      <c r="E31" s="499" t="s">
        <v>199</v>
      </c>
      <c r="F31" s="500"/>
      <c r="G31" s="496" t="s">
        <v>201</v>
      </c>
      <c r="H31" s="497"/>
      <c r="I31" s="499" t="s">
        <v>215</v>
      </c>
      <c r="J31" s="500"/>
      <c r="K31" s="297" t="s">
        <v>216</v>
      </c>
      <c r="L31" s="499" t="s">
        <v>217</v>
      </c>
      <c r="M31" s="501"/>
      <c r="N31" s="500"/>
      <c r="O31" s="499" t="s">
        <v>218</v>
      </c>
      <c r="P31" s="500"/>
      <c r="Q31" s="499" t="s">
        <v>219</v>
      </c>
      <c r="R31" s="501"/>
      <c r="S31" s="500"/>
      <c r="T31" s="496" t="s">
        <v>220</v>
      </c>
      <c r="U31" s="497"/>
      <c r="V31" s="297" t="s">
        <v>284</v>
      </c>
      <c r="W31" s="297" t="s">
        <v>221</v>
      </c>
      <c r="X31" s="498" t="s">
        <v>17</v>
      </c>
    </row>
    <row r="32" spans="1:24" ht="21" customHeight="1">
      <c r="A32" s="497" t="s">
        <v>195</v>
      </c>
      <c r="B32" s="497"/>
      <c r="C32" s="297" t="s">
        <v>197</v>
      </c>
      <c r="D32" s="297" t="s">
        <v>198</v>
      </c>
      <c r="E32" s="310" t="s">
        <v>200</v>
      </c>
      <c r="F32" s="297" t="s">
        <v>288</v>
      </c>
      <c r="G32" s="297" t="s">
        <v>202</v>
      </c>
      <c r="H32" s="297" t="s">
        <v>203</v>
      </c>
      <c r="I32" s="310" t="s">
        <v>204</v>
      </c>
      <c r="J32" s="297" t="s">
        <v>205</v>
      </c>
      <c r="K32" s="297" t="s">
        <v>206</v>
      </c>
      <c r="L32" s="297" t="s">
        <v>207</v>
      </c>
      <c r="M32" s="297" t="s">
        <v>208</v>
      </c>
      <c r="N32" s="297" t="s">
        <v>334</v>
      </c>
      <c r="O32" s="311" t="s">
        <v>471</v>
      </c>
      <c r="P32" s="298" t="s">
        <v>209</v>
      </c>
      <c r="Q32" s="297" t="s">
        <v>210</v>
      </c>
      <c r="R32" s="297" t="s">
        <v>211</v>
      </c>
      <c r="S32" s="297" t="s">
        <v>290</v>
      </c>
      <c r="T32" s="297" t="s">
        <v>212</v>
      </c>
      <c r="U32" s="297" t="s">
        <v>213</v>
      </c>
      <c r="V32" s="297" t="s">
        <v>285</v>
      </c>
      <c r="W32" s="297" t="s">
        <v>214</v>
      </c>
      <c r="X32" s="498"/>
    </row>
    <row r="33" spans="1:24" ht="21" customHeight="1">
      <c r="A33" s="108">
        <v>220600</v>
      </c>
      <c r="B33" s="73" t="s">
        <v>236</v>
      </c>
      <c r="C33" s="76">
        <v>66950</v>
      </c>
      <c r="D33" s="76"/>
      <c r="E33" s="76"/>
      <c r="F33" s="76"/>
      <c r="G33" s="76">
        <v>16240</v>
      </c>
      <c r="H33" s="76"/>
      <c r="I33" s="76">
        <v>25260</v>
      </c>
      <c r="J33" s="76"/>
      <c r="K33" s="76"/>
      <c r="L33" s="76">
        <v>28080</v>
      </c>
      <c r="M33" s="76"/>
      <c r="N33" s="76"/>
      <c r="O33" s="192">
        <v>25940</v>
      </c>
      <c r="P33" s="192"/>
      <c r="Q33" s="76"/>
      <c r="R33" s="76"/>
      <c r="S33" s="76"/>
      <c r="T33" s="76"/>
      <c r="U33" s="76"/>
      <c r="V33" s="76"/>
      <c r="W33" s="76"/>
      <c r="X33" s="110">
        <f>SUM(C33:W33)</f>
        <v>162470</v>
      </c>
    </row>
    <row r="34" spans="1:24" ht="21" customHeight="1">
      <c r="A34" s="111">
        <v>220700</v>
      </c>
      <c r="B34" s="74" t="s">
        <v>237</v>
      </c>
      <c r="C34" s="76">
        <v>6000</v>
      </c>
      <c r="D34" s="87"/>
      <c r="E34" s="87"/>
      <c r="F34" s="87"/>
      <c r="G34" s="87"/>
      <c r="H34" s="87"/>
      <c r="I34" s="87">
        <v>1500</v>
      </c>
      <c r="J34" s="87"/>
      <c r="K34" s="87"/>
      <c r="L34" s="76">
        <v>1500</v>
      </c>
      <c r="M34" s="87"/>
      <c r="N34" s="87"/>
      <c r="O34" s="193">
        <v>1500</v>
      </c>
      <c r="P34" s="193"/>
      <c r="Q34" s="87"/>
      <c r="R34" s="87"/>
      <c r="S34" s="87"/>
      <c r="T34" s="87"/>
      <c r="U34" s="87"/>
      <c r="V34" s="87"/>
      <c r="W34" s="87"/>
      <c r="X34" s="113">
        <f>SUM(C34:W34)</f>
        <v>10500</v>
      </c>
    </row>
    <row r="35" spans="1:26" ht="21" customHeight="1">
      <c r="A35" s="490" t="s">
        <v>230</v>
      </c>
      <c r="B35" s="491"/>
      <c r="C35" s="110">
        <f>SUM(C25:C34)</f>
        <v>259530</v>
      </c>
      <c r="D35" s="110">
        <f>SUM(D25:D34)</f>
        <v>88500</v>
      </c>
      <c r="E35" s="110">
        <f>SUM(E25:E34)</f>
        <v>20770</v>
      </c>
      <c r="F35" s="110">
        <f>SUM(F25:F34)</f>
        <v>0</v>
      </c>
      <c r="G35" s="110">
        <f>SUM(G25:G34)</f>
        <v>16240</v>
      </c>
      <c r="H35" s="110">
        <f>SUM(H25:H34)</f>
        <v>0</v>
      </c>
      <c r="I35" s="110">
        <f>SUM(I25:I34)</f>
        <v>26760</v>
      </c>
      <c r="J35" s="110">
        <f>SUM(J25:J34)</f>
        <v>0</v>
      </c>
      <c r="K35" s="110">
        <f>SUM(K25:K34)</f>
        <v>0</v>
      </c>
      <c r="L35" s="110">
        <f>SUM(L25:L34)</f>
        <v>77078</v>
      </c>
      <c r="M35" s="110">
        <f aca="true" t="shared" si="7" ref="M35:R35">SUM(M25:M34)</f>
        <v>0</v>
      </c>
      <c r="N35" s="110">
        <f t="shared" si="7"/>
        <v>0</v>
      </c>
      <c r="O35" s="110">
        <f t="shared" si="7"/>
        <v>44400</v>
      </c>
      <c r="P35" s="110">
        <f t="shared" si="7"/>
        <v>0</v>
      </c>
      <c r="Q35" s="110">
        <f t="shared" si="7"/>
        <v>0</v>
      </c>
      <c r="R35" s="110">
        <f t="shared" si="7"/>
        <v>0</v>
      </c>
      <c r="S35" s="110"/>
      <c r="T35" s="110">
        <f>SUM(T25:T34)</f>
        <v>0</v>
      </c>
      <c r="U35" s="110">
        <f>SUM(U25:U34)</f>
        <v>0</v>
      </c>
      <c r="V35" s="110">
        <f>SUM(V25:V34)</f>
        <v>0</v>
      </c>
      <c r="W35" s="110">
        <f>SUM(W25:W34)</f>
        <v>0</v>
      </c>
      <c r="X35" s="110">
        <f>SUM(C35:W35)</f>
        <v>533278</v>
      </c>
      <c r="Y35" s="106" t="e">
        <f>+'[4]ใบผ่านรายการบัญชีมาตรฐาน'!$F$56+'[4]ใบผ่านรายการบัญชีมาตรฐาน'!$F$57+'[4]ใบผ่านรายการบัญชีมาตรฐาน'!$F$58</f>
        <v>#VALUE!</v>
      </c>
      <c r="Z35" s="124" t="e">
        <f>+Y35+X35</f>
        <v>#VALUE!</v>
      </c>
    </row>
    <row r="36" spans="1:24" ht="21" customHeight="1">
      <c r="A36" s="492" t="s">
        <v>231</v>
      </c>
      <c r="B36" s="493"/>
      <c r="C36" s="114">
        <f>+C35</f>
        <v>259530</v>
      </c>
      <c r="D36" s="114">
        <f aca="true" t="shared" si="8" ref="D36:X36">+D35</f>
        <v>88500</v>
      </c>
      <c r="E36" s="114">
        <f>+E35</f>
        <v>20770</v>
      </c>
      <c r="F36" s="114">
        <f t="shared" si="8"/>
        <v>0</v>
      </c>
      <c r="G36" s="114">
        <f t="shared" si="8"/>
        <v>16240</v>
      </c>
      <c r="H36" s="114">
        <f t="shared" si="8"/>
        <v>0</v>
      </c>
      <c r="I36" s="114">
        <f t="shared" si="8"/>
        <v>26760</v>
      </c>
      <c r="J36" s="114">
        <f t="shared" si="8"/>
        <v>0</v>
      </c>
      <c r="K36" s="114">
        <f t="shared" si="8"/>
        <v>0</v>
      </c>
      <c r="L36" s="114">
        <f t="shared" si="8"/>
        <v>77078</v>
      </c>
      <c r="M36" s="114">
        <f t="shared" si="8"/>
        <v>0</v>
      </c>
      <c r="N36" s="114">
        <f t="shared" si="8"/>
        <v>0</v>
      </c>
      <c r="O36" s="114">
        <f t="shared" si="8"/>
        <v>44400</v>
      </c>
      <c r="P36" s="114">
        <f t="shared" si="8"/>
        <v>0</v>
      </c>
      <c r="Q36" s="114">
        <f t="shared" si="8"/>
        <v>0</v>
      </c>
      <c r="R36" s="114">
        <f t="shared" si="8"/>
        <v>0</v>
      </c>
      <c r="S36" s="114">
        <f t="shared" si="8"/>
        <v>0</v>
      </c>
      <c r="T36" s="114">
        <f t="shared" si="8"/>
        <v>0</v>
      </c>
      <c r="U36" s="114">
        <f t="shared" si="8"/>
        <v>0</v>
      </c>
      <c r="V36" s="114">
        <f t="shared" si="8"/>
        <v>0</v>
      </c>
      <c r="W36" s="114">
        <f t="shared" si="8"/>
        <v>0</v>
      </c>
      <c r="X36" s="114">
        <f t="shared" si="8"/>
        <v>533278</v>
      </c>
    </row>
    <row r="37" spans="1:24" ht="21" customHeight="1">
      <c r="A37" s="488" t="s">
        <v>271</v>
      </c>
      <c r="B37" s="489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95"/>
      <c r="P37" s="195"/>
      <c r="Q37" s="115"/>
      <c r="R37" s="115"/>
      <c r="S37" s="115"/>
      <c r="T37" s="115"/>
      <c r="U37" s="115"/>
      <c r="V37" s="115"/>
      <c r="W37" s="115"/>
      <c r="X37" s="116">
        <f aca="true" t="shared" si="9" ref="X37:X43">SUM(C37:W37)</f>
        <v>0</v>
      </c>
    </row>
    <row r="38" spans="1:24" ht="21" customHeight="1">
      <c r="A38" s="108">
        <v>310100</v>
      </c>
      <c r="B38" s="73" t="s">
        <v>238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192"/>
      <c r="P38" s="192"/>
      <c r="Q38" s="76"/>
      <c r="R38" s="76"/>
      <c r="S38" s="76"/>
      <c r="T38" s="76"/>
      <c r="U38" s="76"/>
      <c r="V38" s="76"/>
      <c r="W38" s="76"/>
      <c r="X38" s="110">
        <f t="shared" si="9"/>
        <v>0</v>
      </c>
    </row>
    <row r="39" spans="1:24" ht="21" customHeight="1">
      <c r="A39" s="108">
        <v>310200</v>
      </c>
      <c r="B39" s="73" t="s">
        <v>239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192"/>
      <c r="P39" s="192"/>
      <c r="Q39" s="76"/>
      <c r="R39" s="76"/>
      <c r="S39" s="76"/>
      <c r="T39" s="76"/>
      <c r="U39" s="76"/>
      <c r="V39" s="76"/>
      <c r="W39" s="76"/>
      <c r="X39" s="110">
        <f t="shared" si="9"/>
        <v>0</v>
      </c>
    </row>
    <row r="40" spans="1:24" ht="21" customHeight="1">
      <c r="A40" s="108">
        <v>310300</v>
      </c>
      <c r="B40" s="73" t="s">
        <v>240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192"/>
      <c r="P40" s="192"/>
      <c r="Q40" s="76"/>
      <c r="R40" s="76"/>
      <c r="S40" s="76"/>
      <c r="T40" s="76"/>
      <c r="U40" s="76"/>
      <c r="V40" s="76"/>
      <c r="W40" s="76"/>
      <c r="X40" s="110">
        <f t="shared" si="9"/>
        <v>0</v>
      </c>
    </row>
    <row r="41" spans="1:24" ht="21" customHeight="1">
      <c r="A41" s="108">
        <v>310400</v>
      </c>
      <c r="B41" s="73" t="s">
        <v>241</v>
      </c>
      <c r="C41" s="76"/>
      <c r="D41" s="76"/>
      <c r="E41" s="76"/>
      <c r="F41" s="76"/>
      <c r="G41" s="76"/>
      <c r="H41" s="76"/>
      <c r="I41" s="76"/>
      <c r="J41" s="76"/>
      <c r="K41" s="76"/>
      <c r="L41" s="76">
        <v>0</v>
      </c>
      <c r="M41" s="76"/>
      <c r="N41" s="76"/>
      <c r="O41" s="192"/>
      <c r="P41" s="192"/>
      <c r="Q41" s="76"/>
      <c r="R41" s="76"/>
      <c r="S41" s="76"/>
      <c r="T41" s="76"/>
      <c r="U41" s="76"/>
      <c r="V41" s="76"/>
      <c r="W41" s="76"/>
      <c r="X41" s="110">
        <f t="shared" si="9"/>
        <v>0</v>
      </c>
    </row>
    <row r="42" spans="1:24" ht="21" customHeight="1">
      <c r="A42" s="108">
        <v>310500</v>
      </c>
      <c r="B42" s="73" t="s">
        <v>242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192"/>
      <c r="P42" s="192"/>
      <c r="Q42" s="76"/>
      <c r="R42" s="76"/>
      <c r="S42" s="76"/>
      <c r="T42" s="76"/>
      <c r="U42" s="76"/>
      <c r="V42" s="76"/>
      <c r="W42" s="76"/>
      <c r="X42" s="110">
        <f t="shared" si="9"/>
        <v>0</v>
      </c>
    </row>
    <row r="43" spans="1:24" ht="21" customHeight="1">
      <c r="A43" s="111">
        <v>310600</v>
      </c>
      <c r="B43" s="74" t="s">
        <v>243</v>
      </c>
      <c r="C43" s="76"/>
      <c r="D43" s="7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193"/>
      <c r="P43" s="193"/>
      <c r="Q43" s="87"/>
      <c r="R43" s="87"/>
      <c r="S43" s="87"/>
      <c r="T43" s="87"/>
      <c r="U43" s="87"/>
      <c r="V43" s="87"/>
      <c r="W43" s="87"/>
      <c r="X43" s="113">
        <f t="shared" si="9"/>
        <v>0</v>
      </c>
    </row>
    <row r="44" spans="1:25" ht="21" customHeight="1">
      <c r="A44" s="490" t="s">
        <v>230</v>
      </c>
      <c r="B44" s="491"/>
      <c r="C44" s="110">
        <f>SUM(C38:C43)</f>
        <v>0</v>
      </c>
      <c r="D44" s="110">
        <f aca="true" t="shared" si="10" ref="D44:W44">SUM(D38:D43)</f>
        <v>0</v>
      </c>
      <c r="E44" s="110">
        <f>SUM(E38:E43)</f>
        <v>0</v>
      </c>
      <c r="F44" s="110">
        <f t="shared" si="10"/>
        <v>0</v>
      </c>
      <c r="G44" s="110">
        <f t="shared" si="10"/>
        <v>0</v>
      </c>
      <c r="H44" s="110">
        <f t="shared" si="10"/>
        <v>0</v>
      </c>
      <c r="I44" s="110">
        <f t="shared" si="10"/>
        <v>0</v>
      </c>
      <c r="J44" s="110">
        <f t="shared" si="10"/>
        <v>0</v>
      </c>
      <c r="K44" s="110">
        <f t="shared" si="10"/>
        <v>0</v>
      </c>
      <c r="L44" s="110">
        <f t="shared" si="10"/>
        <v>0</v>
      </c>
      <c r="M44" s="110">
        <f t="shared" si="10"/>
        <v>0</v>
      </c>
      <c r="N44" s="110">
        <f t="shared" si="10"/>
        <v>0</v>
      </c>
      <c r="O44" s="110">
        <f t="shared" si="10"/>
        <v>0</v>
      </c>
      <c r="P44" s="110">
        <f t="shared" si="10"/>
        <v>0</v>
      </c>
      <c r="Q44" s="110">
        <f t="shared" si="10"/>
        <v>0</v>
      </c>
      <c r="R44" s="110">
        <f t="shared" si="10"/>
        <v>0</v>
      </c>
      <c r="S44" s="110">
        <f t="shared" si="10"/>
        <v>0</v>
      </c>
      <c r="T44" s="110">
        <f t="shared" si="10"/>
        <v>0</v>
      </c>
      <c r="U44" s="110">
        <f t="shared" si="10"/>
        <v>0</v>
      </c>
      <c r="V44" s="110">
        <f t="shared" si="10"/>
        <v>0</v>
      </c>
      <c r="W44" s="110">
        <f t="shared" si="10"/>
        <v>0</v>
      </c>
      <c r="X44" s="110">
        <f>SUM(C44:W44)</f>
        <v>0</v>
      </c>
      <c r="Y44" s="106">
        <f>135537.5+11000</f>
        <v>146537.5</v>
      </c>
    </row>
    <row r="45" spans="1:24" ht="21" customHeight="1">
      <c r="A45" s="492" t="s">
        <v>231</v>
      </c>
      <c r="B45" s="493"/>
      <c r="C45" s="114">
        <f>+C44</f>
        <v>0</v>
      </c>
      <c r="D45" s="114">
        <f aca="true" t="shared" si="11" ref="D45:X45">+D44</f>
        <v>0</v>
      </c>
      <c r="E45" s="114">
        <f>+E44</f>
        <v>0</v>
      </c>
      <c r="F45" s="114">
        <f t="shared" si="11"/>
        <v>0</v>
      </c>
      <c r="G45" s="114">
        <f t="shared" si="11"/>
        <v>0</v>
      </c>
      <c r="H45" s="114">
        <f t="shared" si="11"/>
        <v>0</v>
      </c>
      <c r="I45" s="114">
        <f t="shared" si="11"/>
        <v>0</v>
      </c>
      <c r="J45" s="114">
        <f t="shared" si="11"/>
        <v>0</v>
      </c>
      <c r="K45" s="114">
        <f t="shared" si="11"/>
        <v>0</v>
      </c>
      <c r="L45" s="114">
        <f t="shared" si="11"/>
        <v>0</v>
      </c>
      <c r="M45" s="114">
        <f t="shared" si="11"/>
        <v>0</v>
      </c>
      <c r="N45" s="114">
        <f t="shared" si="11"/>
        <v>0</v>
      </c>
      <c r="O45" s="114">
        <f t="shared" si="11"/>
        <v>0</v>
      </c>
      <c r="P45" s="114">
        <f t="shared" si="11"/>
        <v>0</v>
      </c>
      <c r="Q45" s="114">
        <f t="shared" si="11"/>
        <v>0</v>
      </c>
      <c r="R45" s="114">
        <f t="shared" si="11"/>
        <v>0</v>
      </c>
      <c r="S45" s="114">
        <f t="shared" si="11"/>
        <v>0</v>
      </c>
      <c r="T45" s="114">
        <f t="shared" si="11"/>
        <v>0</v>
      </c>
      <c r="U45" s="114">
        <f t="shared" si="11"/>
        <v>0</v>
      </c>
      <c r="V45" s="114">
        <f t="shared" si="11"/>
        <v>0</v>
      </c>
      <c r="W45" s="114">
        <f t="shared" si="11"/>
        <v>0</v>
      </c>
      <c r="X45" s="114">
        <f t="shared" si="11"/>
        <v>0</v>
      </c>
    </row>
    <row r="46" spans="1:24" ht="21" customHeight="1">
      <c r="A46" s="488" t="s">
        <v>272</v>
      </c>
      <c r="B46" s="48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95"/>
      <c r="P46" s="195"/>
      <c r="Q46" s="115"/>
      <c r="R46" s="115"/>
      <c r="S46" s="115"/>
      <c r="T46" s="115"/>
      <c r="U46" s="115"/>
      <c r="V46" s="115"/>
      <c r="W46" s="115"/>
      <c r="X46" s="116">
        <f>SUM(C46:W46)</f>
        <v>0</v>
      </c>
    </row>
    <row r="47" spans="1:24" ht="21" customHeight="1">
      <c r="A47" s="108">
        <v>320100</v>
      </c>
      <c r="B47" s="73" t="s">
        <v>244</v>
      </c>
      <c r="C47" s="76">
        <f>5000+5287.6</f>
        <v>10287.6</v>
      </c>
      <c r="D47" s="76">
        <v>4636.8</v>
      </c>
      <c r="E47" s="76"/>
      <c r="F47" s="76"/>
      <c r="G47" s="76"/>
      <c r="H47" s="76"/>
      <c r="I47" s="76"/>
      <c r="J47" s="76"/>
      <c r="K47" s="76"/>
      <c r="L47" s="76">
        <v>0</v>
      </c>
      <c r="M47" s="76"/>
      <c r="N47" s="76">
        <v>13458.75</v>
      </c>
      <c r="O47" s="192"/>
      <c r="P47" s="192"/>
      <c r="Q47" s="76"/>
      <c r="R47" s="76"/>
      <c r="S47" s="76"/>
      <c r="T47" s="76"/>
      <c r="U47" s="76"/>
      <c r="V47" s="76">
        <v>0</v>
      </c>
      <c r="W47" s="76"/>
      <c r="X47" s="110">
        <f>SUM(C47:W47)</f>
        <v>28383.15</v>
      </c>
    </row>
    <row r="48" spans="1:24" ht="21" customHeight="1">
      <c r="A48" s="108">
        <v>320200</v>
      </c>
      <c r="B48" s="73" t="s">
        <v>245</v>
      </c>
      <c r="C48" s="76">
        <v>300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192"/>
      <c r="P48" s="192"/>
      <c r="Q48" s="76"/>
      <c r="R48" s="76"/>
      <c r="S48" s="76"/>
      <c r="T48" s="76"/>
      <c r="U48" s="76"/>
      <c r="V48" s="76"/>
      <c r="W48" s="76"/>
      <c r="X48" s="110">
        <f>SUM(C48:W48)</f>
        <v>300</v>
      </c>
    </row>
    <row r="49" spans="1:24" ht="21" customHeight="1">
      <c r="A49" s="108">
        <v>320300</v>
      </c>
      <c r="B49" s="73" t="s">
        <v>246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192"/>
      <c r="P49" s="192"/>
      <c r="Q49" s="76"/>
      <c r="R49" s="76"/>
      <c r="S49" s="76"/>
      <c r="T49" s="76"/>
      <c r="U49" s="76"/>
      <c r="V49" s="76"/>
      <c r="W49" s="76"/>
      <c r="X49" s="110">
        <f>SUM(C49:W49)</f>
        <v>0</v>
      </c>
    </row>
    <row r="50" spans="1:24" ht="21" customHeight="1">
      <c r="A50" s="111">
        <v>320400</v>
      </c>
      <c r="B50" s="74" t="s">
        <v>247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193"/>
      <c r="P50" s="193"/>
      <c r="Q50" s="87"/>
      <c r="R50" s="87"/>
      <c r="S50" s="87"/>
      <c r="T50" s="87"/>
      <c r="U50" s="87"/>
      <c r="V50" s="87"/>
      <c r="W50" s="87"/>
      <c r="X50" s="110">
        <f>SUM(C50:W50)</f>
        <v>0</v>
      </c>
    </row>
    <row r="51" spans="1:25" ht="21" customHeight="1">
      <c r="A51" s="490" t="s">
        <v>230</v>
      </c>
      <c r="B51" s="491"/>
      <c r="C51" s="110">
        <f>SUM(C47:C50)</f>
        <v>10587.6</v>
      </c>
      <c r="D51" s="110">
        <f aca="true" t="shared" si="12" ref="D51:W51">SUM(D47:D50)</f>
        <v>4636.8</v>
      </c>
      <c r="E51" s="110">
        <f>SUM(E47:E50)</f>
        <v>0</v>
      </c>
      <c r="F51" s="110">
        <f t="shared" si="12"/>
        <v>0</v>
      </c>
      <c r="G51" s="110">
        <f t="shared" si="12"/>
        <v>0</v>
      </c>
      <c r="H51" s="110">
        <f t="shared" si="12"/>
        <v>0</v>
      </c>
      <c r="I51" s="110">
        <f t="shared" si="12"/>
        <v>0</v>
      </c>
      <c r="J51" s="110">
        <f t="shared" si="12"/>
        <v>0</v>
      </c>
      <c r="K51" s="110">
        <f t="shared" si="12"/>
        <v>0</v>
      </c>
      <c r="L51" s="110">
        <f t="shared" si="12"/>
        <v>0</v>
      </c>
      <c r="M51" s="110">
        <f t="shared" si="12"/>
        <v>0</v>
      </c>
      <c r="N51" s="110">
        <f t="shared" si="12"/>
        <v>13458.75</v>
      </c>
      <c r="O51" s="110">
        <f t="shared" si="12"/>
        <v>0</v>
      </c>
      <c r="P51" s="110">
        <f t="shared" si="12"/>
        <v>0</v>
      </c>
      <c r="Q51" s="110">
        <f t="shared" si="12"/>
        <v>0</v>
      </c>
      <c r="R51" s="110">
        <f t="shared" si="12"/>
        <v>0</v>
      </c>
      <c r="S51" s="110">
        <f t="shared" si="12"/>
        <v>0</v>
      </c>
      <c r="T51" s="110">
        <f t="shared" si="12"/>
        <v>0</v>
      </c>
      <c r="U51" s="110">
        <f t="shared" si="12"/>
        <v>0</v>
      </c>
      <c r="V51" s="110">
        <f t="shared" si="12"/>
        <v>0</v>
      </c>
      <c r="W51" s="110">
        <f t="shared" si="12"/>
        <v>0</v>
      </c>
      <c r="X51" s="110">
        <f>SUM(C51:W51)</f>
        <v>28683.15</v>
      </c>
      <c r="Y51" s="106">
        <f>+'[4]ใบผ่านรายการบัญชีมาตรฐาน'!$F$60</f>
        <v>218720</v>
      </c>
    </row>
    <row r="52" spans="1:25" ht="21" customHeight="1">
      <c r="A52" s="492" t="s">
        <v>231</v>
      </c>
      <c r="B52" s="493"/>
      <c r="C52" s="114">
        <f>+C51</f>
        <v>10587.6</v>
      </c>
      <c r="D52" s="114">
        <f aca="true" t="shared" si="13" ref="D52:X52">+D51</f>
        <v>4636.8</v>
      </c>
      <c r="E52" s="114">
        <f>+E51</f>
        <v>0</v>
      </c>
      <c r="F52" s="114">
        <f t="shared" si="13"/>
        <v>0</v>
      </c>
      <c r="G52" s="114">
        <f t="shared" si="13"/>
        <v>0</v>
      </c>
      <c r="H52" s="114">
        <f t="shared" si="13"/>
        <v>0</v>
      </c>
      <c r="I52" s="114">
        <f t="shared" si="13"/>
        <v>0</v>
      </c>
      <c r="J52" s="114">
        <f t="shared" si="13"/>
        <v>0</v>
      </c>
      <c r="K52" s="114">
        <f t="shared" si="13"/>
        <v>0</v>
      </c>
      <c r="L52" s="114">
        <f t="shared" si="13"/>
        <v>0</v>
      </c>
      <c r="M52" s="114">
        <f t="shared" si="13"/>
        <v>0</v>
      </c>
      <c r="N52" s="114">
        <f t="shared" si="13"/>
        <v>13458.75</v>
      </c>
      <c r="O52" s="114">
        <f t="shared" si="13"/>
        <v>0</v>
      </c>
      <c r="P52" s="114">
        <f t="shared" si="13"/>
        <v>0</v>
      </c>
      <c r="Q52" s="114">
        <f t="shared" si="13"/>
        <v>0</v>
      </c>
      <c r="R52" s="114">
        <f t="shared" si="13"/>
        <v>0</v>
      </c>
      <c r="S52" s="114">
        <f t="shared" si="13"/>
        <v>0</v>
      </c>
      <c r="T52" s="114">
        <f t="shared" si="13"/>
        <v>0</v>
      </c>
      <c r="U52" s="114">
        <f t="shared" si="13"/>
        <v>0</v>
      </c>
      <c r="V52" s="114">
        <f t="shared" si="13"/>
        <v>0</v>
      </c>
      <c r="W52" s="114">
        <f t="shared" si="13"/>
        <v>0</v>
      </c>
      <c r="X52" s="114">
        <f t="shared" si="13"/>
        <v>28683.15</v>
      </c>
      <c r="Y52" s="106">
        <f>+X51-Y51</f>
        <v>-190036.85</v>
      </c>
    </row>
    <row r="53" spans="1:25" ht="21" customHeight="1">
      <c r="A53" s="488" t="s">
        <v>273</v>
      </c>
      <c r="B53" s="489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95"/>
      <c r="P53" s="195"/>
      <c r="Q53" s="115"/>
      <c r="R53" s="115"/>
      <c r="S53" s="115"/>
      <c r="T53" s="115"/>
      <c r="U53" s="115"/>
      <c r="V53" s="115"/>
      <c r="W53" s="115"/>
      <c r="X53" s="116">
        <f>SUM(C53:W53)</f>
        <v>0</v>
      </c>
      <c r="Y53" s="106">
        <f>5287.6+4636.8</f>
        <v>9924.400000000001</v>
      </c>
    </row>
    <row r="54" spans="1:24" ht="21" customHeight="1">
      <c r="A54" s="108">
        <v>330100</v>
      </c>
      <c r="B54" s="73" t="s">
        <v>248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192"/>
      <c r="P54" s="192"/>
      <c r="Q54" s="76"/>
      <c r="R54" s="76"/>
      <c r="S54" s="76"/>
      <c r="T54" s="76"/>
      <c r="U54" s="76"/>
      <c r="V54" s="76"/>
      <c r="W54" s="76"/>
      <c r="X54" s="110">
        <f>SUM(C54:W54)</f>
        <v>0</v>
      </c>
    </row>
    <row r="55" spans="1:24" ht="21" customHeight="1">
      <c r="A55" s="108">
        <v>330200</v>
      </c>
      <c r="B55" s="73" t="s">
        <v>249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192"/>
      <c r="P55" s="192"/>
      <c r="Q55" s="76"/>
      <c r="R55" s="76"/>
      <c r="S55" s="76"/>
      <c r="T55" s="76"/>
      <c r="U55" s="76"/>
      <c r="V55" s="76"/>
      <c r="W55" s="76"/>
      <c r="X55" s="110">
        <f aca="true" t="shared" si="14" ref="X55:X60">SUM(C55:W55)</f>
        <v>0</v>
      </c>
    </row>
    <row r="56" spans="1:24" ht="21" customHeight="1">
      <c r="A56" s="108">
        <v>330300</v>
      </c>
      <c r="B56" s="73" t="s">
        <v>326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192"/>
      <c r="P56" s="192"/>
      <c r="Q56" s="76"/>
      <c r="R56" s="76"/>
      <c r="S56" s="76"/>
      <c r="T56" s="76"/>
      <c r="U56" s="76"/>
      <c r="V56" s="76"/>
      <c r="W56" s="76"/>
      <c r="X56" s="110">
        <f t="shared" si="14"/>
        <v>0</v>
      </c>
    </row>
    <row r="57" spans="1:24" ht="21" customHeight="1">
      <c r="A57" s="108">
        <v>330400</v>
      </c>
      <c r="B57" s="73" t="s">
        <v>274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192"/>
      <c r="P57" s="192"/>
      <c r="Q57" s="76"/>
      <c r="R57" s="76"/>
      <c r="S57" s="76"/>
      <c r="T57" s="76"/>
      <c r="U57" s="76"/>
      <c r="V57" s="76"/>
      <c r="W57" s="76"/>
      <c r="X57" s="110">
        <f t="shared" si="14"/>
        <v>0</v>
      </c>
    </row>
    <row r="58" spans="1:24" ht="21" customHeight="1">
      <c r="A58" s="108">
        <v>330600</v>
      </c>
      <c r="B58" s="73" t="s">
        <v>250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192"/>
      <c r="P58" s="192"/>
      <c r="Q58" s="76"/>
      <c r="R58" s="76"/>
      <c r="S58" s="76"/>
      <c r="T58" s="76"/>
      <c r="U58" s="76"/>
      <c r="V58" s="76"/>
      <c r="W58" s="76"/>
      <c r="X58" s="110">
        <f t="shared" si="14"/>
        <v>0</v>
      </c>
    </row>
    <row r="59" spans="1:24" ht="21" customHeight="1">
      <c r="A59" s="108">
        <v>330800</v>
      </c>
      <c r="B59" s="73" t="s">
        <v>251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192"/>
      <c r="P59" s="192"/>
      <c r="Q59" s="76"/>
      <c r="R59" s="76"/>
      <c r="S59" s="76"/>
      <c r="T59" s="76"/>
      <c r="U59" s="76"/>
      <c r="V59" s="76"/>
      <c r="W59" s="76"/>
      <c r="X59" s="110">
        <f t="shared" si="14"/>
        <v>0</v>
      </c>
    </row>
    <row r="60" spans="1:24" ht="21" customHeight="1">
      <c r="A60" s="108">
        <v>330900</v>
      </c>
      <c r="B60" s="73" t="s">
        <v>253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192"/>
      <c r="P60" s="192"/>
      <c r="Q60" s="76"/>
      <c r="R60" s="76"/>
      <c r="S60" s="76"/>
      <c r="T60" s="76"/>
      <c r="U60" s="76"/>
      <c r="V60" s="76"/>
      <c r="W60" s="76"/>
      <c r="X60" s="110">
        <f t="shared" si="14"/>
        <v>0</v>
      </c>
    </row>
    <row r="61" spans="1:24" ht="21" customHeight="1">
      <c r="A61" s="497" t="s">
        <v>194</v>
      </c>
      <c r="B61" s="497"/>
      <c r="C61" s="496" t="s">
        <v>196</v>
      </c>
      <c r="D61" s="496"/>
      <c r="E61" s="499" t="s">
        <v>199</v>
      </c>
      <c r="F61" s="500"/>
      <c r="G61" s="496" t="s">
        <v>201</v>
      </c>
      <c r="H61" s="497"/>
      <c r="I61" s="499" t="s">
        <v>215</v>
      </c>
      <c r="J61" s="500"/>
      <c r="K61" s="297" t="s">
        <v>216</v>
      </c>
      <c r="L61" s="499" t="s">
        <v>217</v>
      </c>
      <c r="M61" s="501"/>
      <c r="N61" s="500"/>
      <c r="O61" s="499" t="s">
        <v>218</v>
      </c>
      <c r="P61" s="500"/>
      <c r="Q61" s="499" t="s">
        <v>219</v>
      </c>
      <c r="R61" s="501"/>
      <c r="S61" s="500"/>
      <c r="T61" s="496" t="s">
        <v>220</v>
      </c>
      <c r="U61" s="497"/>
      <c r="V61" s="297" t="s">
        <v>284</v>
      </c>
      <c r="W61" s="297" t="s">
        <v>221</v>
      </c>
      <c r="X61" s="498" t="s">
        <v>17</v>
      </c>
    </row>
    <row r="62" spans="1:24" ht="21" customHeight="1">
      <c r="A62" s="497" t="s">
        <v>195</v>
      </c>
      <c r="B62" s="497"/>
      <c r="C62" s="297" t="s">
        <v>197</v>
      </c>
      <c r="D62" s="297" t="s">
        <v>198</v>
      </c>
      <c r="E62" s="310" t="s">
        <v>200</v>
      </c>
      <c r="F62" s="297" t="s">
        <v>288</v>
      </c>
      <c r="G62" s="297" t="s">
        <v>202</v>
      </c>
      <c r="H62" s="297" t="s">
        <v>203</v>
      </c>
      <c r="I62" s="310" t="s">
        <v>204</v>
      </c>
      <c r="J62" s="297" t="s">
        <v>205</v>
      </c>
      <c r="K62" s="297" t="s">
        <v>206</v>
      </c>
      <c r="L62" s="297" t="s">
        <v>207</v>
      </c>
      <c r="M62" s="297" t="s">
        <v>208</v>
      </c>
      <c r="N62" s="297" t="s">
        <v>334</v>
      </c>
      <c r="O62" s="311" t="s">
        <v>471</v>
      </c>
      <c r="P62" s="298" t="s">
        <v>209</v>
      </c>
      <c r="Q62" s="297" t="s">
        <v>210</v>
      </c>
      <c r="R62" s="297" t="s">
        <v>211</v>
      </c>
      <c r="S62" s="297" t="s">
        <v>290</v>
      </c>
      <c r="T62" s="297" t="s">
        <v>212</v>
      </c>
      <c r="U62" s="297" t="s">
        <v>213</v>
      </c>
      <c r="V62" s="297" t="s">
        <v>285</v>
      </c>
      <c r="W62" s="297" t="s">
        <v>214</v>
      </c>
      <c r="X62" s="498"/>
    </row>
    <row r="63" spans="1:24" ht="21" customHeight="1">
      <c r="A63" s="300">
        <v>331000</v>
      </c>
      <c r="B63" s="303" t="s">
        <v>462</v>
      </c>
      <c r="C63" s="304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2"/>
      <c r="P63" s="302"/>
      <c r="Q63" s="301"/>
      <c r="R63" s="301"/>
      <c r="S63" s="301"/>
      <c r="T63" s="301"/>
      <c r="U63" s="301"/>
      <c r="V63" s="301"/>
      <c r="W63" s="301"/>
      <c r="X63" s="110">
        <f>SUM(C63:W63)</f>
        <v>0</v>
      </c>
    </row>
    <row r="64" spans="1:24" ht="21" customHeight="1">
      <c r="A64" s="108">
        <v>331200</v>
      </c>
      <c r="B64" s="73" t="s">
        <v>254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192"/>
      <c r="P64" s="192"/>
      <c r="Q64" s="76"/>
      <c r="R64" s="76"/>
      <c r="S64" s="76"/>
      <c r="T64" s="76"/>
      <c r="U64" s="76"/>
      <c r="V64" s="76"/>
      <c r="W64" s="76"/>
      <c r="X64" s="110">
        <f>SUM(C64:W64)</f>
        <v>0</v>
      </c>
    </row>
    <row r="65" spans="1:24" ht="21" customHeight="1">
      <c r="A65" s="108">
        <v>331300</v>
      </c>
      <c r="B65" s="73" t="s">
        <v>255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192"/>
      <c r="P65" s="192"/>
      <c r="Q65" s="76"/>
      <c r="R65" s="76"/>
      <c r="S65" s="76"/>
      <c r="T65" s="76"/>
      <c r="U65" s="76"/>
      <c r="V65" s="76"/>
      <c r="W65" s="76"/>
      <c r="X65" s="110">
        <f>SUM(C65:W65)</f>
        <v>0</v>
      </c>
    </row>
    <row r="66" spans="1:24" ht="21" customHeight="1">
      <c r="A66" s="108">
        <v>331400</v>
      </c>
      <c r="B66" s="73" t="s">
        <v>252</v>
      </c>
      <c r="C66" s="76">
        <v>12950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192"/>
      <c r="P66" s="192"/>
      <c r="Q66" s="76"/>
      <c r="R66" s="76"/>
      <c r="S66" s="76"/>
      <c r="T66" s="76"/>
      <c r="U66" s="76"/>
      <c r="V66" s="76"/>
      <c r="W66" s="76"/>
      <c r="X66" s="110">
        <f>SUM(C66:W66)</f>
        <v>12950</v>
      </c>
    </row>
    <row r="67" spans="1:24" ht="21" customHeight="1">
      <c r="A67" s="108">
        <v>331500</v>
      </c>
      <c r="B67" s="73" t="s">
        <v>256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192"/>
      <c r="P67" s="192"/>
      <c r="Q67" s="76"/>
      <c r="R67" s="76"/>
      <c r="S67" s="76"/>
      <c r="T67" s="76"/>
      <c r="U67" s="76"/>
      <c r="V67" s="76"/>
      <c r="W67" s="76"/>
      <c r="X67" s="110">
        <f>SUM(C67:W67)</f>
        <v>0</v>
      </c>
    </row>
    <row r="68" spans="1:24" ht="21" customHeight="1">
      <c r="A68" s="111">
        <v>331700</v>
      </c>
      <c r="B68" s="74" t="s">
        <v>257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93"/>
      <c r="P68" s="193"/>
      <c r="Q68" s="87"/>
      <c r="R68" s="87"/>
      <c r="S68" s="87"/>
      <c r="T68" s="87"/>
      <c r="U68" s="87"/>
      <c r="V68" s="87"/>
      <c r="W68" s="87"/>
      <c r="X68" s="110">
        <f>SUM(C68:W68)</f>
        <v>0</v>
      </c>
    </row>
    <row r="69" spans="1:25" ht="21" customHeight="1">
      <c r="A69" s="490" t="s">
        <v>230</v>
      </c>
      <c r="B69" s="491"/>
      <c r="C69" s="110">
        <f aca="true" t="shared" si="15" ref="C69:J69">SUM(C54:C68)</f>
        <v>12950</v>
      </c>
      <c r="D69" s="110">
        <f t="shared" si="15"/>
        <v>0</v>
      </c>
      <c r="E69" s="110">
        <f>SUM(E54:E68)</f>
        <v>0</v>
      </c>
      <c r="F69" s="110">
        <f t="shared" si="15"/>
        <v>0</v>
      </c>
      <c r="G69" s="110">
        <f t="shared" si="15"/>
        <v>0</v>
      </c>
      <c r="H69" s="110">
        <f t="shared" si="15"/>
        <v>0</v>
      </c>
      <c r="I69" s="110">
        <f t="shared" si="15"/>
        <v>0</v>
      </c>
      <c r="J69" s="110">
        <f t="shared" si="15"/>
        <v>0</v>
      </c>
      <c r="K69" s="110">
        <f aca="true" t="shared" si="16" ref="K69:W69">SUM(K54:K68)</f>
        <v>0</v>
      </c>
      <c r="L69" s="110">
        <f t="shared" si="16"/>
        <v>0</v>
      </c>
      <c r="M69" s="110">
        <f t="shared" si="16"/>
        <v>0</v>
      </c>
      <c r="N69" s="110">
        <f t="shared" si="16"/>
        <v>0</v>
      </c>
      <c r="O69" s="110">
        <f t="shared" si="16"/>
        <v>0</v>
      </c>
      <c r="P69" s="110">
        <f t="shared" si="16"/>
        <v>0</v>
      </c>
      <c r="Q69" s="110">
        <f t="shared" si="16"/>
        <v>0</v>
      </c>
      <c r="R69" s="110">
        <f t="shared" si="16"/>
        <v>0</v>
      </c>
      <c r="S69" s="110">
        <f t="shared" si="16"/>
        <v>0</v>
      </c>
      <c r="T69" s="110">
        <f t="shared" si="16"/>
        <v>0</v>
      </c>
      <c r="U69" s="110">
        <f t="shared" si="16"/>
        <v>0</v>
      </c>
      <c r="V69" s="110">
        <f t="shared" si="16"/>
        <v>0</v>
      </c>
      <c r="W69" s="110">
        <f t="shared" si="16"/>
        <v>0</v>
      </c>
      <c r="X69" s="110">
        <f>SUM(X54:X68)</f>
        <v>12950</v>
      </c>
      <c r="Y69" s="106">
        <f>+'[4]ใบผ่านรายการบัญชีมาตรฐาน'!$F$61</f>
        <v>398250</v>
      </c>
    </row>
    <row r="70" spans="1:24" ht="21" customHeight="1">
      <c r="A70" s="492" t="s">
        <v>231</v>
      </c>
      <c r="B70" s="493"/>
      <c r="C70" s="114">
        <f>+C69</f>
        <v>12950</v>
      </c>
      <c r="D70" s="114">
        <f aca="true" t="shared" si="17" ref="D70:X70">+D69</f>
        <v>0</v>
      </c>
      <c r="E70" s="114">
        <f>+E69</f>
        <v>0</v>
      </c>
      <c r="F70" s="114">
        <f t="shared" si="17"/>
        <v>0</v>
      </c>
      <c r="G70" s="114">
        <f t="shared" si="17"/>
        <v>0</v>
      </c>
      <c r="H70" s="114">
        <f t="shared" si="17"/>
        <v>0</v>
      </c>
      <c r="I70" s="114">
        <f t="shared" si="17"/>
        <v>0</v>
      </c>
      <c r="J70" s="114">
        <f t="shared" si="17"/>
        <v>0</v>
      </c>
      <c r="K70" s="114">
        <f t="shared" si="17"/>
        <v>0</v>
      </c>
      <c r="L70" s="114">
        <f t="shared" si="17"/>
        <v>0</v>
      </c>
      <c r="M70" s="114">
        <f t="shared" si="17"/>
        <v>0</v>
      </c>
      <c r="N70" s="114">
        <f t="shared" si="17"/>
        <v>0</v>
      </c>
      <c r="O70" s="114">
        <f t="shared" si="17"/>
        <v>0</v>
      </c>
      <c r="P70" s="114">
        <f t="shared" si="17"/>
        <v>0</v>
      </c>
      <c r="Q70" s="114">
        <f t="shared" si="17"/>
        <v>0</v>
      </c>
      <c r="R70" s="114">
        <f t="shared" si="17"/>
        <v>0</v>
      </c>
      <c r="S70" s="114">
        <f t="shared" si="17"/>
        <v>0</v>
      </c>
      <c r="T70" s="114">
        <f t="shared" si="17"/>
        <v>0</v>
      </c>
      <c r="U70" s="114">
        <f t="shared" si="17"/>
        <v>0</v>
      </c>
      <c r="V70" s="114">
        <f t="shared" si="17"/>
        <v>0</v>
      </c>
      <c r="W70" s="114">
        <f t="shared" si="17"/>
        <v>0</v>
      </c>
      <c r="X70" s="114">
        <f t="shared" si="17"/>
        <v>12950</v>
      </c>
    </row>
    <row r="71" spans="1:24" ht="21" customHeight="1">
      <c r="A71" s="488" t="s">
        <v>275</v>
      </c>
      <c r="B71" s="489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95"/>
      <c r="P71" s="195"/>
      <c r="Q71" s="115"/>
      <c r="R71" s="115"/>
      <c r="S71" s="115"/>
      <c r="T71" s="115"/>
      <c r="U71" s="115"/>
      <c r="V71" s="115"/>
      <c r="W71" s="115"/>
      <c r="X71" s="116">
        <f aca="true" t="shared" si="18" ref="X71:X76">SUM(C71:W71)</f>
        <v>0</v>
      </c>
    </row>
    <row r="72" spans="1:24" ht="21" customHeight="1">
      <c r="A72" s="108">
        <v>340100</v>
      </c>
      <c r="B72" s="73" t="s">
        <v>258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192"/>
      <c r="P72" s="192"/>
      <c r="Q72" s="76"/>
      <c r="R72" s="76"/>
      <c r="S72" s="76"/>
      <c r="T72" s="76"/>
      <c r="U72" s="76"/>
      <c r="V72" s="76">
        <v>0</v>
      </c>
      <c r="W72" s="76"/>
      <c r="X72" s="110">
        <f t="shared" si="18"/>
        <v>0</v>
      </c>
    </row>
    <row r="73" spans="1:24" ht="21" customHeight="1">
      <c r="A73" s="108">
        <v>340300</v>
      </c>
      <c r="B73" s="73" t="s">
        <v>259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192"/>
      <c r="P73" s="192"/>
      <c r="Q73" s="76"/>
      <c r="R73" s="76"/>
      <c r="S73" s="76"/>
      <c r="T73" s="76"/>
      <c r="U73" s="76"/>
      <c r="V73" s="76"/>
      <c r="W73" s="76"/>
      <c r="X73" s="110">
        <f t="shared" si="18"/>
        <v>0</v>
      </c>
    </row>
    <row r="74" spans="1:24" ht="21" customHeight="1">
      <c r="A74" s="108">
        <v>340400</v>
      </c>
      <c r="B74" s="73" t="s">
        <v>260</v>
      </c>
      <c r="C74" s="76">
        <v>1760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192"/>
      <c r="P74" s="192"/>
      <c r="Q74" s="76"/>
      <c r="R74" s="76"/>
      <c r="S74" s="76"/>
      <c r="T74" s="76"/>
      <c r="U74" s="76"/>
      <c r="V74" s="76"/>
      <c r="W74" s="76"/>
      <c r="X74" s="110">
        <f t="shared" si="18"/>
        <v>1760</v>
      </c>
    </row>
    <row r="75" spans="1:24" ht="21" customHeight="1">
      <c r="A75" s="111">
        <v>340500</v>
      </c>
      <c r="B75" s="74" t="s">
        <v>261</v>
      </c>
      <c r="C75" s="76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193"/>
      <c r="P75" s="193"/>
      <c r="Q75" s="87"/>
      <c r="R75" s="87"/>
      <c r="S75" s="87"/>
      <c r="T75" s="87"/>
      <c r="U75" s="87"/>
      <c r="V75" s="87"/>
      <c r="W75" s="87"/>
      <c r="X75" s="113">
        <f t="shared" si="18"/>
        <v>0</v>
      </c>
    </row>
    <row r="76" spans="1:24" ht="21" customHeight="1">
      <c r="A76" s="490" t="s">
        <v>230</v>
      </c>
      <c r="B76" s="491"/>
      <c r="C76" s="110">
        <f>SUM(C72:C75)</f>
        <v>1760</v>
      </c>
      <c r="D76" s="110">
        <f aca="true" t="shared" si="19" ref="D76:O76">SUM(D72:D75)</f>
        <v>0</v>
      </c>
      <c r="E76" s="110">
        <f>SUM(E72:E75)</f>
        <v>0</v>
      </c>
      <c r="F76" s="110">
        <f t="shared" si="19"/>
        <v>0</v>
      </c>
      <c r="G76" s="110">
        <f t="shared" si="19"/>
        <v>0</v>
      </c>
      <c r="H76" s="110">
        <f t="shared" si="19"/>
        <v>0</v>
      </c>
      <c r="I76" s="110">
        <f t="shared" si="19"/>
        <v>0</v>
      </c>
      <c r="J76" s="110">
        <f t="shared" si="19"/>
        <v>0</v>
      </c>
      <c r="K76" s="110">
        <f t="shared" si="19"/>
        <v>0</v>
      </c>
      <c r="L76" s="110">
        <f t="shared" si="19"/>
        <v>0</v>
      </c>
      <c r="M76" s="110">
        <f t="shared" si="19"/>
        <v>0</v>
      </c>
      <c r="N76" s="110">
        <f t="shared" si="19"/>
        <v>0</v>
      </c>
      <c r="O76" s="110">
        <f t="shared" si="19"/>
        <v>0</v>
      </c>
      <c r="P76" s="194">
        <f>SUM(P72:P75)</f>
        <v>0</v>
      </c>
      <c r="Q76" s="110">
        <f>SUM(Q72:Q75)</f>
        <v>0</v>
      </c>
      <c r="R76" s="110">
        <f>SUM(R72:R75)</f>
        <v>0</v>
      </c>
      <c r="S76" s="110"/>
      <c r="T76" s="110">
        <f>SUM(T72:T75)</f>
        <v>0</v>
      </c>
      <c r="U76" s="110">
        <f>SUM(U72:U75)</f>
        <v>0</v>
      </c>
      <c r="V76" s="110">
        <f>SUM(V72:V75)</f>
        <v>0</v>
      </c>
      <c r="W76" s="110">
        <f>SUM(W72:W75)</f>
        <v>0</v>
      </c>
      <c r="X76" s="110">
        <f t="shared" si="18"/>
        <v>1760</v>
      </c>
    </row>
    <row r="77" spans="1:24" ht="21" customHeight="1">
      <c r="A77" s="492" t="s">
        <v>231</v>
      </c>
      <c r="B77" s="493"/>
      <c r="C77" s="114">
        <f>+C76</f>
        <v>1760</v>
      </c>
      <c r="D77" s="114">
        <f aca="true" t="shared" si="20" ref="D77:X77">+D76</f>
        <v>0</v>
      </c>
      <c r="E77" s="114">
        <f>+E76</f>
        <v>0</v>
      </c>
      <c r="F77" s="114">
        <f t="shared" si="20"/>
        <v>0</v>
      </c>
      <c r="G77" s="114">
        <f t="shared" si="20"/>
        <v>0</v>
      </c>
      <c r="H77" s="114">
        <f t="shared" si="20"/>
        <v>0</v>
      </c>
      <c r="I77" s="114">
        <f t="shared" si="20"/>
        <v>0</v>
      </c>
      <c r="J77" s="114">
        <f t="shared" si="20"/>
        <v>0</v>
      </c>
      <c r="K77" s="114">
        <f t="shared" si="20"/>
        <v>0</v>
      </c>
      <c r="L77" s="114">
        <f t="shared" si="20"/>
        <v>0</v>
      </c>
      <c r="M77" s="114">
        <f t="shared" si="20"/>
        <v>0</v>
      </c>
      <c r="N77" s="114">
        <f t="shared" si="20"/>
        <v>0</v>
      </c>
      <c r="O77" s="114">
        <f t="shared" si="20"/>
        <v>0</v>
      </c>
      <c r="P77" s="114">
        <f t="shared" si="20"/>
        <v>0</v>
      </c>
      <c r="Q77" s="114">
        <f t="shared" si="20"/>
        <v>0</v>
      </c>
      <c r="R77" s="114">
        <f t="shared" si="20"/>
        <v>0</v>
      </c>
      <c r="S77" s="114">
        <f t="shared" si="20"/>
        <v>0</v>
      </c>
      <c r="T77" s="114">
        <f t="shared" si="20"/>
        <v>0</v>
      </c>
      <c r="U77" s="114">
        <f t="shared" si="20"/>
        <v>0</v>
      </c>
      <c r="V77" s="114">
        <f t="shared" si="20"/>
        <v>0</v>
      </c>
      <c r="W77" s="114">
        <f t="shared" si="20"/>
        <v>0</v>
      </c>
      <c r="X77" s="114">
        <f t="shared" si="20"/>
        <v>1760</v>
      </c>
    </row>
    <row r="78" spans="1:24" ht="21" customHeight="1">
      <c r="A78" s="488" t="s">
        <v>276</v>
      </c>
      <c r="B78" s="489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95"/>
      <c r="P78" s="195"/>
      <c r="Q78" s="115"/>
      <c r="R78" s="115"/>
      <c r="S78" s="115"/>
      <c r="T78" s="115"/>
      <c r="U78" s="115"/>
      <c r="V78" s="115"/>
      <c r="W78" s="115"/>
      <c r="X78" s="116">
        <f aca="true" t="shared" si="21" ref="X78:X90">SUM(C78:W78)</f>
        <v>0</v>
      </c>
    </row>
    <row r="79" spans="1:24" ht="21" customHeight="1">
      <c r="A79" s="108">
        <v>410400</v>
      </c>
      <c r="B79" s="73" t="s">
        <v>262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192"/>
      <c r="P79" s="192"/>
      <c r="Q79" s="76"/>
      <c r="R79" s="76"/>
      <c r="S79" s="76"/>
      <c r="T79" s="76"/>
      <c r="U79" s="76"/>
      <c r="V79" s="76"/>
      <c r="W79" s="76"/>
      <c r="X79" s="110">
        <f t="shared" si="21"/>
        <v>0</v>
      </c>
    </row>
    <row r="80" spans="1:24" ht="21" customHeight="1">
      <c r="A80" s="108">
        <v>410200</v>
      </c>
      <c r="B80" s="73" t="s">
        <v>310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192"/>
      <c r="P80" s="192"/>
      <c r="Q80" s="76"/>
      <c r="R80" s="76"/>
      <c r="S80" s="76"/>
      <c r="T80" s="76"/>
      <c r="U80" s="76"/>
      <c r="V80" s="76"/>
      <c r="W80" s="76"/>
      <c r="X80" s="110">
        <f t="shared" si="21"/>
        <v>0</v>
      </c>
    </row>
    <row r="81" spans="1:24" ht="21" customHeight="1">
      <c r="A81" s="108">
        <v>410300</v>
      </c>
      <c r="B81" s="73" t="s">
        <v>263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92"/>
      <c r="P81" s="192"/>
      <c r="Q81" s="76"/>
      <c r="R81" s="76"/>
      <c r="S81" s="76"/>
      <c r="T81" s="76"/>
      <c r="U81" s="76"/>
      <c r="V81" s="76"/>
      <c r="W81" s="76"/>
      <c r="X81" s="110">
        <f t="shared" si="21"/>
        <v>0</v>
      </c>
    </row>
    <row r="82" spans="1:24" ht="21" customHeight="1">
      <c r="A82" s="108">
        <v>410400</v>
      </c>
      <c r="B82" s="73" t="s">
        <v>311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193"/>
      <c r="P82" s="193"/>
      <c r="Q82" s="87"/>
      <c r="R82" s="87"/>
      <c r="S82" s="87"/>
      <c r="T82" s="87"/>
      <c r="U82" s="87"/>
      <c r="V82" s="87"/>
      <c r="W82" s="87"/>
      <c r="X82" s="110">
        <f t="shared" si="21"/>
        <v>0</v>
      </c>
    </row>
    <row r="83" spans="1:24" ht="21" customHeight="1">
      <c r="A83" s="108">
        <v>410500</v>
      </c>
      <c r="B83" s="73" t="s">
        <v>312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193"/>
      <c r="P83" s="193"/>
      <c r="Q83" s="87"/>
      <c r="R83" s="87"/>
      <c r="S83" s="87"/>
      <c r="T83" s="87"/>
      <c r="U83" s="87"/>
      <c r="V83" s="87"/>
      <c r="W83" s="87"/>
      <c r="X83" s="110">
        <f t="shared" si="21"/>
        <v>0</v>
      </c>
    </row>
    <row r="84" spans="1:24" ht="21" customHeight="1">
      <c r="A84" s="108">
        <v>410600</v>
      </c>
      <c r="B84" s="73" t="s">
        <v>313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193"/>
      <c r="P84" s="193"/>
      <c r="Q84" s="87"/>
      <c r="R84" s="87"/>
      <c r="S84" s="87"/>
      <c r="T84" s="87"/>
      <c r="U84" s="87"/>
      <c r="V84" s="87"/>
      <c r="W84" s="87"/>
      <c r="X84" s="110">
        <f t="shared" si="21"/>
        <v>0</v>
      </c>
    </row>
    <row r="85" spans="1:24" ht="21" customHeight="1" hidden="1">
      <c r="A85" s="108">
        <v>410700</v>
      </c>
      <c r="B85" s="73" t="s">
        <v>264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92"/>
      <c r="P85" s="192"/>
      <c r="Q85" s="76"/>
      <c r="R85" s="76"/>
      <c r="S85" s="76"/>
      <c r="T85" s="76"/>
      <c r="U85" s="76"/>
      <c r="V85" s="76"/>
      <c r="W85" s="76"/>
      <c r="X85" s="110">
        <f t="shared" si="21"/>
        <v>0</v>
      </c>
    </row>
    <row r="86" spans="1:24" ht="21" customHeight="1" hidden="1">
      <c r="A86" s="108">
        <v>410800</v>
      </c>
      <c r="B86" s="73" t="s">
        <v>314</v>
      </c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193"/>
      <c r="P86" s="193"/>
      <c r="Q86" s="87"/>
      <c r="R86" s="87"/>
      <c r="S86" s="87"/>
      <c r="T86" s="87"/>
      <c r="U86" s="87"/>
      <c r="V86" s="87"/>
      <c r="W86" s="87"/>
      <c r="X86" s="110">
        <f t="shared" si="21"/>
        <v>0</v>
      </c>
    </row>
    <row r="87" spans="1:24" ht="21" customHeight="1">
      <c r="A87" s="108">
        <v>410900</v>
      </c>
      <c r="B87" s="73" t="s">
        <v>347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193"/>
      <c r="P87" s="193"/>
      <c r="Q87" s="87"/>
      <c r="R87" s="87"/>
      <c r="S87" s="87"/>
      <c r="T87" s="87"/>
      <c r="U87" s="87"/>
      <c r="V87" s="87"/>
      <c r="W87" s="87"/>
      <c r="X87" s="110">
        <f t="shared" si="21"/>
        <v>0</v>
      </c>
    </row>
    <row r="88" spans="1:24" ht="21" customHeight="1">
      <c r="A88" s="108">
        <v>411000</v>
      </c>
      <c r="B88" s="73" t="s">
        <v>449</v>
      </c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193"/>
      <c r="P88" s="193"/>
      <c r="Q88" s="87"/>
      <c r="R88" s="87"/>
      <c r="S88" s="87"/>
      <c r="T88" s="87"/>
      <c r="U88" s="87"/>
      <c r="V88" s="87"/>
      <c r="W88" s="87"/>
      <c r="X88" s="110">
        <f t="shared" si="21"/>
        <v>0</v>
      </c>
    </row>
    <row r="89" spans="1:24" ht="21" customHeight="1">
      <c r="A89" s="108">
        <v>411100</v>
      </c>
      <c r="B89" s="73" t="s">
        <v>371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193"/>
      <c r="P89" s="193"/>
      <c r="Q89" s="87"/>
      <c r="R89" s="87"/>
      <c r="S89" s="87"/>
      <c r="T89" s="87"/>
      <c r="U89" s="87"/>
      <c r="V89" s="87"/>
      <c r="W89" s="87"/>
      <c r="X89" s="110">
        <f t="shared" si="21"/>
        <v>0</v>
      </c>
    </row>
    <row r="90" spans="1:24" ht="21" customHeight="1">
      <c r="A90" s="108">
        <v>411300</v>
      </c>
      <c r="B90" s="73" t="s">
        <v>450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193"/>
      <c r="P90" s="193"/>
      <c r="Q90" s="87"/>
      <c r="R90" s="87"/>
      <c r="S90" s="87"/>
      <c r="T90" s="87"/>
      <c r="U90" s="87"/>
      <c r="V90" s="87"/>
      <c r="W90" s="87"/>
      <c r="X90" s="110">
        <f t="shared" si="21"/>
        <v>0</v>
      </c>
    </row>
    <row r="91" spans="1:24" ht="21" customHeight="1">
      <c r="A91" s="108">
        <v>411600</v>
      </c>
      <c r="B91" s="73" t="s">
        <v>315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92"/>
      <c r="P91" s="192"/>
      <c r="Q91" s="76"/>
      <c r="R91" s="76"/>
      <c r="S91" s="76"/>
      <c r="T91" s="76"/>
      <c r="U91" s="76"/>
      <c r="V91" s="76"/>
      <c r="W91" s="76"/>
      <c r="X91" s="110">
        <f>SUM(C91:W91)</f>
        <v>0</v>
      </c>
    </row>
    <row r="92" spans="1:24" ht="21" customHeight="1">
      <c r="A92" s="108">
        <v>411800</v>
      </c>
      <c r="B92" s="73" t="s">
        <v>265</v>
      </c>
      <c r="C92" s="76"/>
      <c r="D92" s="76"/>
      <c r="E92" s="76"/>
      <c r="F92" s="76"/>
      <c r="G92" s="76"/>
      <c r="H92" s="76"/>
      <c r="I92" s="76"/>
      <c r="J92" s="76"/>
      <c r="K92" s="76"/>
      <c r="L92" s="76">
        <v>0</v>
      </c>
      <c r="M92" s="76">
        <v>0</v>
      </c>
      <c r="N92" s="76"/>
      <c r="O92" s="192"/>
      <c r="P92" s="192"/>
      <c r="Q92" s="76"/>
      <c r="R92" s="76"/>
      <c r="S92" s="76"/>
      <c r="T92" s="76"/>
      <c r="U92" s="76"/>
      <c r="V92" s="76"/>
      <c r="W92" s="76"/>
      <c r="X92" s="110">
        <f>SUM(C92:W92)</f>
        <v>0</v>
      </c>
    </row>
    <row r="93" spans="1:24" ht="21" customHeight="1">
      <c r="A93" s="490" t="s">
        <v>230</v>
      </c>
      <c r="B93" s="491"/>
      <c r="C93" s="110">
        <f>SUM(C79:C92)</f>
        <v>0</v>
      </c>
      <c r="D93" s="110">
        <f aca="true" t="shared" si="22" ref="D93:O93">SUM(D79:D92)</f>
        <v>0</v>
      </c>
      <c r="E93" s="110">
        <f>SUM(E79:E92)</f>
        <v>0</v>
      </c>
      <c r="F93" s="110">
        <f t="shared" si="22"/>
        <v>0</v>
      </c>
      <c r="G93" s="110">
        <f t="shared" si="22"/>
        <v>0</v>
      </c>
      <c r="H93" s="110">
        <f t="shared" si="22"/>
        <v>0</v>
      </c>
      <c r="I93" s="110">
        <f t="shared" si="22"/>
        <v>0</v>
      </c>
      <c r="J93" s="110">
        <f t="shared" si="22"/>
        <v>0</v>
      </c>
      <c r="K93" s="110">
        <f t="shared" si="22"/>
        <v>0</v>
      </c>
      <c r="L93" s="110">
        <f t="shared" si="22"/>
        <v>0</v>
      </c>
      <c r="M93" s="110">
        <f t="shared" si="22"/>
        <v>0</v>
      </c>
      <c r="N93" s="110">
        <f t="shared" si="22"/>
        <v>0</v>
      </c>
      <c r="O93" s="110">
        <f t="shared" si="22"/>
        <v>0</v>
      </c>
      <c r="P93" s="194">
        <f>SUM(P79:P92)</f>
        <v>0</v>
      </c>
      <c r="Q93" s="110">
        <f>SUM(Q79:Q92)</f>
        <v>0</v>
      </c>
      <c r="R93" s="110">
        <f>SUM(R79:R92)</f>
        <v>0</v>
      </c>
      <c r="S93" s="110"/>
      <c r="T93" s="110">
        <f>SUM(T79:T92)</f>
        <v>0</v>
      </c>
      <c r="U93" s="110">
        <f>SUM(U79:U92)</f>
        <v>0</v>
      </c>
      <c r="V93" s="110">
        <f>SUM(V79:V92)</f>
        <v>0</v>
      </c>
      <c r="W93" s="110">
        <f>SUM(W79:W92)</f>
        <v>0</v>
      </c>
      <c r="X93" s="110">
        <f>SUM(C93:W93)</f>
        <v>0</v>
      </c>
    </row>
    <row r="94" spans="1:24" ht="21" customHeight="1">
      <c r="A94" s="492" t="s">
        <v>231</v>
      </c>
      <c r="B94" s="493"/>
      <c r="C94" s="114">
        <f>+C93</f>
        <v>0</v>
      </c>
      <c r="D94" s="114">
        <f aca="true" t="shared" si="23" ref="D94:X94">+D93</f>
        <v>0</v>
      </c>
      <c r="E94" s="114">
        <f>+E93</f>
        <v>0</v>
      </c>
      <c r="F94" s="114">
        <f t="shared" si="23"/>
        <v>0</v>
      </c>
      <c r="G94" s="114">
        <f t="shared" si="23"/>
        <v>0</v>
      </c>
      <c r="H94" s="114">
        <f t="shared" si="23"/>
        <v>0</v>
      </c>
      <c r="I94" s="114">
        <f t="shared" si="23"/>
        <v>0</v>
      </c>
      <c r="J94" s="114">
        <f t="shared" si="23"/>
        <v>0</v>
      </c>
      <c r="K94" s="114">
        <f t="shared" si="23"/>
        <v>0</v>
      </c>
      <c r="L94" s="114">
        <f t="shared" si="23"/>
        <v>0</v>
      </c>
      <c r="M94" s="114">
        <f t="shared" si="23"/>
        <v>0</v>
      </c>
      <c r="N94" s="114">
        <f t="shared" si="23"/>
        <v>0</v>
      </c>
      <c r="O94" s="114">
        <f t="shared" si="23"/>
        <v>0</v>
      </c>
      <c r="P94" s="114">
        <f t="shared" si="23"/>
        <v>0</v>
      </c>
      <c r="Q94" s="114">
        <f t="shared" si="23"/>
        <v>0</v>
      </c>
      <c r="R94" s="114">
        <f t="shared" si="23"/>
        <v>0</v>
      </c>
      <c r="S94" s="114">
        <f t="shared" si="23"/>
        <v>0</v>
      </c>
      <c r="T94" s="114">
        <f t="shared" si="23"/>
        <v>0</v>
      </c>
      <c r="U94" s="114">
        <f t="shared" si="23"/>
        <v>0</v>
      </c>
      <c r="V94" s="114">
        <f t="shared" si="23"/>
        <v>0</v>
      </c>
      <c r="W94" s="114">
        <f t="shared" si="23"/>
        <v>0</v>
      </c>
      <c r="X94" s="114">
        <f t="shared" si="23"/>
        <v>0</v>
      </c>
    </row>
    <row r="95" spans="1:24" ht="21" customHeight="1">
      <c r="A95" s="497" t="s">
        <v>194</v>
      </c>
      <c r="B95" s="497"/>
      <c r="C95" s="496" t="s">
        <v>196</v>
      </c>
      <c r="D95" s="496"/>
      <c r="E95" s="499" t="s">
        <v>199</v>
      </c>
      <c r="F95" s="500"/>
      <c r="G95" s="496" t="s">
        <v>201</v>
      </c>
      <c r="H95" s="497"/>
      <c r="I95" s="499" t="s">
        <v>215</v>
      </c>
      <c r="J95" s="500"/>
      <c r="K95" s="297" t="s">
        <v>216</v>
      </c>
      <c r="L95" s="499" t="s">
        <v>217</v>
      </c>
      <c r="M95" s="501"/>
      <c r="N95" s="500"/>
      <c r="O95" s="499" t="s">
        <v>218</v>
      </c>
      <c r="P95" s="500"/>
      <c r="Q95" s="499" t="s">
        <v>219</v>
      </c>
      <c r="R95" s="501"/>
      <c r="S95" s="500"/>
      <c r="T95" s="496" t="s">
        <v>220</v>
      </c>
      <c r="U95" s="497"/>
      <c r="V95" s="297" t="s">
        <v>284</v>
      </c>
      <c r="W95" s="297" t="s">
        <v>221</v>
      </c>
      <c r="X95" s="498" t="s">
        <v>17</v>
      </c>
    </row>
    <row r="96" spans="1:24" ht="21" customHeight="1">
      <c r="A96" s="497" t="s">
        <v>195</v>
      </c>
      <c r="B96" s="497"/>
      <c r="C96" s="297" t="s">
        <v>197</v>
      </c>
      <c r="D96" s="297" t="s">
        <v>198</v>
      </c>
      <c r="E96" s="310" t="s">
        <v>200</v>
      </c>
      <c r="F96" s="297" t="s">
        <v>288</v>
      </c>
      <c r="G96" s="297" t="s">
        <v>202</v>
      </c>
      <c r="H96" s="297" t="s">
        <v>203</v>
      </c>
      <c r="I96" s="310" t="s">
        <v>204</v>
      </c>
      <c r="J96" s="297" t="s">
        <v>205</v>
      </c>
      <c r="K96" s="297" t="s">
        <v>206</v>
      </c>
      <c r="L96" s="297" t="s">
        <v>207</v>
      </c>
      <c r="M96" s="297" t="s">
        <v>208</v>
      </c>
      <c r="N96" s="297" t="s">
        <v>334</v>
      </c>
      <c r="O96" s="311" t="s">
        <v>471</v>
      </c>
      <c r="P96" s="298" t="s">
        <v>209</v>
      </c>
      <c r="Q96" s="297" t="s">
        <v>210</v>
      </c>
      <c r="R96" s="297" t="s">
        <v>211</v>
      </c>
      <c r="S96" s="297" t="s">
        <v>290</v>
      </c>
      <c r="T96" s="297" t="s">
        <v>212</v>
      </c>
      <c r="U96" s="297" t="s">
        <v>213</v>
      </c>
      <c r="V96" s="297" t="s">
        <v>285</v>
      </c>
      <c r="W96" s="297" t="s">
        <v>214</v>
      </c>
      <c r="X96" s="498"/>
    </row>
    <row r="97" spans="1:24" ht="21" customHeight="1">
      <c r="A97" s="488" t="s">
        <v>277</v>
      </c>
      <c r="B97" s="489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95"/>
      <c r="P97" s="195"/>
      <c r="Q97" s="115"/>
      <c r="R97" s="115"/>
      <c r="S97" s="115"/>
      <c r="T97" s="115"/>
      <c r="U97" s="115"/>
      <c r="V97" s="115"/>
      <c r="W97" s="115"/>
      <c r="X97" s="116">
        <f>SUM(C97:W97)</f>
        <v>0</v>
      </c>
    </row>
    <row r="98" spans="1:24" ht="21" customHeight="1">
      <c r="A98" s="108">
        <v>429000</v>
      </c>
      <c r="B98" s="109" t="s">
        <v>10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92"/>
      <c r="P98" s="192"/>
      <c r="Q98" s="76"/>
      <c r="R98" s="76"/>
      <c r="S98" s="76"/>
      <c r="T98" s="76"/>
      <c r="U98" s="76"/>
      <c r="V98" s="76"/>
      <c r="W98" s="76"/>
      <c r="X98" s="110">
        <f>SUM(C98:W98)</f>
        <v>0</v>
      </c>
    </row>
    <row r="99" spans="1:24" ht="21" customHeight="1">
      <c r="A99" s="111">
        <v>421000</v>
      </c>
      <c r="B99" s="112" t="s">
        <v>281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193"/>
      <c r="P99" s="193"/>
      <c r="Q99" s="87"/>
      <c r="R99" s="87"/>
      <c r="S99" s="87"/>
      <c r="T99" s="87"/>
      <c r="U99" s="87"/>
      <c r="V99" s="87"/>
      <c r="W99" s="87"/>
      <c r="X99" s="113">
        <f>SUM(C99:W99)</f>
        <v>0</v>
      </c>
    </row>
    <row r="100" spans="1:24" ht="21" customHeight="1">
      <c r="A100" s="490" t="s">
        <v>230</v>
      </c>
      <c r="B100" s="491"/>
      <c r="C100" s="110">
        <f>SUM(C98:C99)</f>
        <v>0</v>
      </c>
      <c r="D100" s="110">
        <f aca="true" t="shared" si="24" ref="D100:V100">SUM(D98:D99)</f>
        <v>0</v>
      </c>
      <c r="E100" s="110">
        <f>SUM(E98:E99)</f>
        <v>0</v>
      </c>
      <c r="F100" s="110">
        <f t="shared" si="24"/>
        <v>0</v>
      </c>
      <c r="G100" s="110">
        <f t="shared" si="24"/>
        <v>0</v>
      </c>
      <c r="H100" s="110">
        <f t="shared" si="24"/>
        <v>0</v>
      </c>
      <c r="I100" s="110">
        <f t="shared" si="24"/>
        <v>0</v>
      </c>
      <c r="J100" s="110">
        <f t="shared" si="24"/>
        <v>0</v>
      </c>
      <c r="K100" s="110">
        <f t="shared" si="24"/>
        <v>0</v>
      </c>
      <c r="L100" s="110">
        <f t="shared" si="24"/>
        <v>0</v>
      </c>
      <c r="M100" s="110">
        <f t="shared" si="24"/>
        <v>0</v>
      </c>
      <c r="N100" s="110">
        <f t="shared" si="24"/>
        <v>0</v>
      </c>
      <c r="O100" s="110">
        <f t="shared" si="24"/>
        <v>0</v>
      </c>
      <c r="P100" s="110">
        <f t="shared" si="24"/>
        <v>0</v>
      </c>
      <c r="Q100" s="110">
        <f t="shared" si="24"/>
        <v>0</v>
      </c>
      <c r="R100" s="110">
        <f t="shared" si="24"/>
        <v>0</v>
      </c>
      <c r="S100" s="110">
        <f t="shared" si="24"/>
        <v>0</v>
      </c>
      <c r="T100" s="110">
        <f t="shared" si="24"/>
        <v>0</v>
      </c>
      <c r="U100" s="110">
        <f t="shared" si="24"/>
        <v>0</v>
      </c>
      <c r="V100" s="110">
        <f t="shared" si="24"/>
        <v>0</v>
      </c>
      <c r="W100" s="110">
        <f>SUM(W98:W99)</f>
        <v>0</v>
      </c>
      <c r="X100" s="110">
        <f>SUM(C100:W100)</f>
        <v>0</v>
      </c>
    </row>
    <row r="101" spans="1:24" ht="21" customHeight="1">
      <c r="A101" s="492" t="s">
        <v>231</v>
      </c>
      <c r="B101" s="493"/>
      <c r="C101" s="114">
        <f>+C100</f>
        <v>0</v>
      </c>
      <c r="D101" s="114">
        <f aca="true" t="shared" si="25" ref="D101:X101">+D100</f>
        <v>0</v>
      </c>
      <c r="E101" s="114">
        <f>+E100</f>
        <v>0</v>
      </c>
      <c r="F101" s="114">
        <f t="shared" si="25"/>
        <v>0</v>
      </c>
      <c r="G101" s="114">
        <f t="shared" si="25"/>
        <v>0</v>
      </c>
      <c r="H101" s="114">
        <f t="shared" si="25"/>
        <v>0</v>
      </c>
      <c r="I101" s="114">
        <f t="shared" si="25"/>
        <v>0</v>
      </c>
      <c r="J101" s="114">
        <f t="shared" si="25"/>
        <v>0</v>
      </c>
      <c r="K101" s="114">
        <f t="shared" si="25"/>
        <v>0</v>
      </c>
      <c r="L101" s="114">
        <f t="shared" si="25"/>
        <v>0</v>
      </c>
      <c r="M101" s="114">
        <f t="shared" si="25"/>
        <v>0</v>
      </c>
      <c r="N101" s="114">
        <f t="shared" si="25"/>
        <v>0</v>
      </c>
      <c r="O101" s="114">
        <f t="shared" si="25"/>
        <v>0</v>
      </c>
      <c r="P101" s="114">
        <f t="shared" si="25"/>
        <v>0</v>
      </c>
      <c r="Q101" s="114">
        <f t="shared" si="25"/>
        <v>0</v>
      </c>
      <c r="R101" s="114">
        <f t="shared" si="25"/>
        <v>0</v>
      </c>
      <c r="S101" s="114">
        <f t="shared" si="25"/>
        <v>0</v>
      </c>
      <c r="T101" s="114">
        <f t="shared" si="25"/>
        <v>0</v>
      </c>
      <c r="U101" s="114">
        <f t="shared" si="25"/>
        <v>0</v>
      </c>
      <c r="V101" s="114">
        <f t="shared" si="25"/>
        <v>0</v>
      </c>
      <c r="W101" s="114">
        <f t="shared" si="25"/>
        <v>0</v>
      </c>
      <c r="X101" s="114">
        <f t="shared" si="25"/>
        <v>0</v>
      </c>
    </row>
    <row r="102" spans="1:24" ht="21" customHeight="1">
      <c r="A102" s="488" t="s">
        <v>278</v>
      </c>
      <c r="B102" s="489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95"/>
      <c r="P102" s="195"/>
      <c r="Q102" s="115"/>
      <c r="R102" s="115"/>
      <c r="S102" s="115"/>
      <c r="T102" s="115"/>
      <c r="U102" s="115"/>
      <c r="V102" s="115"/>
      <c r="W102" s="115"/>
      <c r="X102" s="116">
        <f aca="true" t="shared" si="26" ref="X102:X107">SUM(C102:W102)</f>
        <v>0</v>
      </c>
    </row>
    <row r="103" spans="1:24" ht="21" customHeight="1">
      <c r="A103" s="108">
        <v>610100</v>
      </c>
      <c r="B103" s="117" t="s">
        <v>280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192"/>
      <c r="P103" s="192"/>
      <c r="Q103" s="76"/>
      <c r="R103" s="76"/>
      <c r="S103" s="76"/>
      <c r="T103" s="76"/>
      <c r="U103" s="76"/>
      <c r="V103" s="76"/>
      <c r="W103" s="76"/>
      <c r="X103" s="110">
        <f t="shared" si="26"/>
        <v>0</v>
      </c>
    </row>
    <row r="104" spans="1:24" ht="21" customHeight="1">
      <c r="A104" s="108">
        <v>610200</v>
      </c>
      <c r="B104" s="109" t="s">
        <v>266</v>
      </c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192"/>
      <c r="P104" s="192"/>
      <c r="Q104" s="76"/>
      <c r="R104" s="76"/>
      <c r="S104" s="76"/>
      <c r="T104" s="76"/>
      <c r="U104" s="76"/>
      <c r="V104" s="76"/>
      <c r="W104" s="76"/>
      <c r="X104" s="110">
        <f t="shared" si="26"/>
        <v>0</v>
      </c>
    </row>
    <row r="105" spans="1:24" ht="21" customHeight="1">
      <c r="A105" s="111">
        <v>610300</v>
      </c>
      <c r="B105" s="112" t="s">
        <v>390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193"/>
      <c r="P105" s="193"/>
      <c r="Q105" s="87"/>
      <c r="R105" s="87"/>
      <c r="S105" s="87"/>
      <c r="T105" s="87"/>
      <c r="U105" s="87"/>
      <c r="V105" s="87"/>
      <c r="W105" s="87"/>
      <c r="X105" s="110">
        <f t="shared" si="26"/>
        <v>0</v>
      </c>
    </row>
    <row r="106" spans="1:24" ht="21" customHeight="1">
      <c r="A106" s="111">
        <v>610400</v>
      </c>
      <c r="B106" s="112" t="s">
        <v>279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193"/>
      <c r="P106" s="193"/>
      <c r="Q106" s="87"/>
      <c r="R106" s="87"/>
      <c r="S106" s="87"/>
      <c r="T106" s="87"/>
      <c r="U106" s="87"/>
      <c r="V106" s="87"/>
      <c r="W106" s="87"/>
      <c r="X106" s="113">
        <f t="shared" si="26"/>
        <v>0</v>
      </c>
    </row>
    <row r="107" spans="1:24" ht="21" customHeight="1">
      <c r="A107" s="490" t="s">
        <v>230</v>
      </c>
      <c r="B107" s="491"/>
      <c r="C107" s="110">
        <f>SUM(C103:C106)</f>
        <v>0</v>
      </c>
      <c r="D107" s="110">
        <f aca="true" t="shared" si="27" ref="D107:R107">SUM(D103:D106)</f>
        <v>0</v>
      </c>
      <c r="E107" s="110">
        <f>SUM(E103:E106)</f>
        <v>0</v>
      </c>
      <c r="F107" s="110">
        <f t="shared" si="27"/>
        <v>0</v>
      </c>
      <c r="G107" s="110">
        <f t="shared" si="27"/>
        <v>0</v>
      </c>
      <c r="H107" s="110">
        <f t="shared" si="27"/>
        <v>0</v>
      </c>
      <c r="I107" s="110">
        <f t="shared" si="27"/>
        <v>0</v>
      </c>
      <c r="J107" s="110">
        <f t="shared" si="27"/>
        <v>0</v>
      </c>
      <c r="K107" s="110">
        <f t="shared" si="27"/>
        <v>0</v>
      </c>
      <c r="L107" s="110">
        <f t="shared" si="27"/>
        <v>0</v>
      </c>
      <c r="M107" s="110">
        <f t="shared" si="27"/>
        <v>0</v>
      </c>
      <c r="N107" s="110">
        <f t="shared" si="27"/>
        <v>0</v>
      </c>
      <c r="O107" s="110">
        <f t="shared" si="27"/>
        <v>0</v>
      </c>
      <c r="P107" s="110">
        <f t="shared" si="27"/>
        <v>0</v>
      </c>
      <c r="Q107" s="110">
        <f t="shared" si="27"/>
        <v>0</v>
      </c>
      <c r="R107" s="110">
        <f t="shared" si="27"/>
        <v>0</v>
      </c>
      <c r="S107" s="110"/>
      <c r="T107" s="110">
        <f>SUM(T103:T106)</f>
        <v>0</v>
      </c>
      <c r="U107" s="110">
        <f>SUM(U103:U106)</f>
        <v>0</v>
      </c>
      <c r="V107" s="110">
        <f>SUM(V103:V106)</f>
        <v>0</v>
      </c>
      <c r="W107" s="110">
        <f>SUM(W103:W106)</f>
        <v>0</v>
      </c>
      <c r="X107" s="110">
        <f t="shared" si="26"/>
        <v>0</v>
      </c>
    </row>
    <row r="108" spans="1:24" ht="21" customHeight="1">
      <c r="A108" s="492" t="s">
        <v>231</v>
      </c>
      <c r="B108" s="493"/>
      <c r="C108" s="114">
        <f>+C107</f>
        <v>0</v>
      </c>
      <c r="D108" s="114">
        <f aca="true" t="shared" si="28" ref="D108:X108">+D107</f>
        <v>0</v>
      </c>
      <c r="E108" s="114">
        <f>+E107</f>
        <v>0</v>
      </c>
      <c r="F108" s="114">
        <f t="shared" si="28"/>
        <v>0</v>
      </c>
      <c r="G108" s="114">
        <f t="shared" si="28"/>
        <v>0</v>
      </c>
      <c r="H108" s="114">
        <f t="shared" si="28"/>
        <v>0</v>
      </c>
      <c r="I108" s="114">
        <f t="shared" si="28"/>
        <v>0</v>
      </c>
      <c r="J108" s="114">
        <f t="shared" si="28"/>
        <v>0</v>
      </c>
      <c r="K108" s="114">
        <f t="shared" si="28"/>
        <v>0</v>
      </c>
      <c r="L108" s="114">
        <f t="shared" si="28"/>
        <v>0</v>
      </c>
      <c r="M108" s="114">
        <f t="shared" si="28"/>
        <v>0</v>
      </c>
      <c r="N108" s="114">
        <f t="shared" si="28"/>
        <v>0</v>
      </c>
      <c r="O108" s="114">
        <f t="shared" si="28"/>
        <v>0</v>
      </c>
      <c r="P108" s="114">
        <f t="shared" si="28"/>
        <v>0</v>
      </c>
      <c r="Q108" s="114">
        <f t="shared" si="28"/>
        <v>0</v>
      </c>
      <c r="R108" s="114">
        <f t="shared" si="28"/>
        <v>0</v>
      </c>
      <c r="S108" s="114">
        <f t="shared" si="28"/>
        <v>0</v>
      </c>
      <c r="T108" s="114">
        <f t="shared" si="28"/>
        <v>0</v>
      </c>
      <c r="U108" s="114">
        <f t="shared" si="28"/>
        <v>0</v>
      </c>
      <c r="V108" s="114">
        <f t="shared" si="28"/>
        <v>0</v>
      </c>
      <c r="W108" s="114">
        <f t="shared" si="28"/>
        <v>0</v>
      </c>
      <c r="X108" s="114">
        <f t="shared" si="28"/>
        <v>0</v>
      </c>
    </row>
    <row r="109" spans="1:24" ht="21" customHeight="1">
      <c r="A109" s="488" t="s">
        <v>282</v>
      </c>
      <c r="B109" s="489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95"/>
      <c r="P109" s="195"/>
      <c r="Q109" s="115"/>
      <c r="R109" s="115"/>
      <c r="S109" s="115"/>
      <c r="T109" s="115"/>
      <c r="U109" s="115"/>
      <c r="V109" s="115"/>
      <c r="W109" s="115"/>
      <c r="X109" s="116">
        <f>SUM(C109:W109)</f>
        <v>0</v>
      </c>
    </row>
    <row r="110" spans="1:24" ht="21" customHeight="1">
      <c r="A110" s="108">
        <v>551000</v>
      </c>
      <c r="B110" s="109" t="s">
        <v>12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192"/>
      <c r="P110" s="192"/>
      <c r="Q110" s="76"/>
      <c r="R110" s="76"/>
      <c r="S110" s="76"/>
      <c r="T110" s="76"/>
      <c r="U110" s="76"/>
      <c r="V110" s="76"/>
      <c r="W110" s="76"/>
      <c r="X110" s="110">
        <f>SUM(C110:W110)</f>
        <v>0</v>
      </c>
    </row>
    <row r="111" spans="1:24" ht="21" customHeight="1">
      <c r="A111" s="111">
        <v>510100</v>
      </c>
      <c r="B111" s="112" t="s">
        <v>283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193"/>
      <c r="P111" s="193"/>
      <c r="Q111" s="87"/>
      <c r="R111" s="87"/>
      <c r="S111" s="87"/>
      <c r="T111" s="87"/>
      <c r="U111" s="87"/>
      <c r="V111" s="87"/>
      <c r="W111" s="87"/>
      <c r="X111" s="113">
        <f>SUM(C111:W111)</f>
        <v>0</v>
      </c>
    </row>
    <row r="112" spans="1:24" ht="21" customHeight="1">
      <c r="A112" s="490" t="s">
        <v>230</v>
      </c>
      <c r="B112" s="491"/>
      <c r="C112" s="110">
        <f>SUM(C110:C111)</f>
        <v>0</v>
      </c>
      <c r="D112" s="110">
        <f aca="true" t="shared" si="29" ref="D112:X112">SUM(D110:D111)</f>
        <v>0</v>
      </c>
      <c r="E112" s="110">
        <f>SUM(E110:E111)</f>
        <v>0</v>
      </c>
      <c r="F112" s="110">
        <f t="shared" si="29"/>
        <v>0</v>
      </c>
      <c r="G112" s="110">
        <f t="shared" si="29"/>
        <v>0</v>
      </c>
      <c r="H112" s="110">
        <f t="shared" si="29"/>
        <v>0</v>
      </c>
      <c r="I112" s="110">
        <f t="shared" si="29"/>
        <v>0</v>
      </c>
      <c r="J112" s="110">
        <f t="shared" si="29"/>
        <v>0</v>
      </c>
      <c r="K112" s="110">
        <f t="shared" si="29"/>
        <v>0</v>
      </c>
      <c r="L112" s="110">
        <f t="shared" si="29"/>
        <v>0</v>
      </c>
      <c r="M112" s="110">
        <f t="shared" si="29"/>
        <v>0</v>
      </c>
      <c r="N112" s="110">
        <f t="shared" si="29"/>
        <v>0</v>
      </c>
      <c r="O112" s="110">
        <f t="shared" si="29"/>
        <v>0</v>
      </c>
      <c r="P112" s="110">
        <f t="shared" si="29"/>
        <v>0</v>
      </c>
      <c r="Q112" s="110">
        <f t="shared" si="29"/>
        <v>0</v>
      </c>
      <c r="R112" s="110">
        <f t="shared" si="29"/>
        <v>0</v>
      </c>
      <c r="S112" s="110">
        <f t="shared" si="29"/>
        <v>0</v>
      </c>
      <c r="T112" s="110">
        <f t="shared" si="29"/>
        <v>0</v>
      </c>
      <c r="U112" s="110">
        <f t="shared" si="29"/>
        <v>0</v>
      </c>
      <c r="V112" s="110">
        <f t="shared" si="29"/>
        <v>0</v>
      </c>
      <c r="W112" s="110">
        <f t="shared" si="29"/>
        <v>0</v>
      </c>
      <c r="X112" s="110">
        <f t="shared" si="29"/>
        <v>0</v>
      </c>
    </row>
    <row r="113" spans="1:24" ht="21" customHeight="1">
      <c r="A113" s="492" t="s">
        <v>231</v>
      </c>
      <c r="B113" s="493"/>
      <c r="C113" s="114">
        <f>+C112</f>
        <v>0</v>
      </c>
      <c r="D113" s="114">
        <f aca="true" t="shared" si="30" ref="D113:X113">+D112</f>
        <v>0</v>
      </c>
      <c r="E113" s="114">
        <f>+E112</f>
        <v>0</v>
      </c>
      <c r="F113" s="114">
        <f t="shared" si="30"/>
        <v>0</v>
      </c>
      <c r="G113" s="114">
        <f t="shared" si="30"/>
        <v>0</v>
      </c>
      <c r="H113" s="114">
        <f t="shared" si="30"/>
        <v>0</v>
      </c>
      <c r="I113" s="114">
        <f t="shared" si="30"/>
        <v>0</v>
      </c>
      <c r="J113" s="114">
        <f t="shared" si="30"/>
        <v>0</v>
      </c>
      <c r="K113" s="114">
        <f t="shared" si="30"/>
        <v>0</v>
      </c>
      <c r="L113" s="114">
        <f t="shared" si="30"/>
        <v>0</v>
      </c>
      <c r="M113" s="114">
        <f t="shared" si="30"/>
        <v>0</v>
      </c>
      <c r="N113" s="114">
        <f t="shared" si="30"/>
        <v>0</v>
      </c>
      <c r="O113" s="114">
        <f t="shared" si="30"/>
        <v>0</v>
      </c>
      <c r="P113" s="114">
        <f t="shared" si="30"/>
        <v>0</v>
      </c>
      <c r="Q113" s="114">
        <f t="shared" si="30"/>
        <v>0</v>
      </c>
      <c r="R113" s="114">
        <f t="shared" si="30"/>
        <v>0</v>
      </c>
      <c r="S113" s="114">
        <f t="shared" si="30"/>
        <v>0</v>
      </c>
      <c r="T113" s="114">
        <f t="shared" si="30"/>
        <v>0</v>
      </c>
      <c r="U113" s="114">
        <f t="shared" si="30"/>
        <v>0</v>
      </c>
      <c r="V113" s="114">
        <f t="shared" si="30"/>
        <v>0</v>
      </c>
      <c r="W113" s="114">
        <f t="shared" si="30"/>
        <v>0</v>
      </c>
      <c r="X113" s="114">
        <f t="shared" si="30"/>
        <v>0</v>
      </c>
    </row>
    <row r="114" spans="1:26" ht="21" customHeight="1">
      <c r="A114" s="494" t="s">
        <v>230</v>
      </c>
      <c r="B114" s="495"/>
      <c r="C114" s="49">
        <f>SUM(C15,C23,C35,C44,C51,C69,C76,C93,C100,C107,C112)</f>
        <v>498561.6</v>
      </c>
      <c r="D114" s="49">
        <f aca="true" t="shared" si="31" ref="D114:W114">SUM(D15,D23,D35,D44,D51,D69,D76,D93,D100,D107,D112)</f>
        <v>93136.8</v>
      </c>
      <c r="E114" s="49">
        <f>SUM(E15,E23,E35,E44,E51,E69,E76,E93,E100,E107,E112)</f>
        <v>20770</v>
      </c>
      <c r="F114" s="49">
        <f t="shared" si="31"/>
        <v>0</v>
      </c>
      <c r="G114" s="49">
        <f t="shared" si="31"/>
        <v>16240</v>
      </c>
      <c r="H114" s="49">
        <f t="shared" si="31"/>
        <v>0</v>
      </c>
      <c r="I114" s="49">
        <f t="shared" si="31"/>
        <v>26760</v>
      </c>
      <c r="J114" s="49">
        <f t="shared" si="31"/>
        <v>0</v>
      </c>
      <c r="K114" s="49">
        <f t="shared" si="31"/>
        <v>0</v>
      </c>
      <c r="L114" s="49">
        <f t="shared" si="31"/>
        <v>77078</v>
      </c>
      <c r="M114" s="49">
        <f t="shared" si="31"/>
        <v>0</v>
      </c>
      <c r="N114" s="49">
        <f t="shared" si="31"/>
        <v>13458.75</v>
      </c>
      <c r="O114" s="49">
        <f t="shared" si="31"/>
        <v>44400</v>
      </c>
      <c r="P114" s="49">
        <f t="shared" si="31"/>
        <v>0</v>
      </c>
      <c r="Q114" s="49">
        <f t="shared" si="31"/>
        <v>0</v>
      </c>
      <c r="R114" s="49">
        <f t="shared" si="31"/>
        <v>0</v>
      </c>
      <c r="S114" s="49">
        <f t="shared" si="31"/>
        <v>0</v>
      </c>
      <c r="T114" s="49">
        <f t="shared" si="31"/>
        <v>0</v>
      </c>
      <c r="U114" s="49">
        <f t="shared" si="31"/>
        <v>0</v>
      </c>
      <c r="V114" s="49">
        <f t="shared" si="31"/>
        <v>0</v>
      </c>
      <c r="W114" s="49">
        <f t="shared" si="31"/>
        <v>16514</v>
      </c>
      <c r="X114" s="49">
        <f>SUM(C114:W114)</f>
        <v>806919.15</v>
      </c>
      <c r="Z114" s="124"/>
    </row>
    <row r="115" spans="1:26" ht="21" customHeight="1">
      <c r="A115" s="494" t="s">
        <v>231</v>
      </c>
      <c r="B115" s="495"/>
      <c r="C115" s="49">
        <f>SUM(C16,C24,C36,C45,C52,C70,C77,C94,C101,C108,C113)</f>
        <v>498561.6</v>
      </c>
      <c r="D115" s="49">
        <f aca="true" t="shared" si="32" ref="D115:W115">SUM(D16,D24,D36,D45,D52,D70,D77,D94,D101,D108,D113)</f>
        <v>93136.8</v>
      </c>
      <c r="E115" s="49">
        <f>SUM(E16,E24,E36,E45,E52,E70,E77,E94,E101,E108,E113)</f>
        <v>20770</v>
      </c>
      <c r="F115" s="49">
        <f t="shared" si="32"/>
        <v>0</v>
      </c>
      <c r="G115" s="49">
        <f t="shared" si="32"/>
        <v>16240</v>
      </c>
      <c r="H115" s="49">
        <f t="shared" si="32"/>
        <v>0</v>
      </c>
      <c r="I115" s="49">
        <f t="shared" si="32"/>
        <v>26760</v>
      </c>
      <c r="J115" s="49">
        <f t="shared" si="32"/>
        <v>0</v>
      </c>
      <c r="K115" s="49">
        <f t="shared" si="32"/>
        <v>0</v>
      </c>
      <c r="L115" s="49">
        <f t="shared" si="32"/>
        <v>77078</v>
      </c>
      <c r="M115" s="49">
        <f t="shared" si="32"/>
        <v>0</v>
      </c>
      <c r="N115" s="49">
        <f t="shared" si="32"/>
        <v>13458.75</v>
      </c>
      <c r="O115" s="49">
        <f t="shared" si="32"/>
        <v>44400</v>
      </c>
      <c r="P115" s="49">
        <f t="shared" si="32"/>
        <v>0</v>
      </c>
      <c r="Q115" s="49">
        <f t="shared" si="32"/>
        <v>0</v>
      </c>
      <c r="R115" s="49">
        <f t="shared" si="32"/>
        <v>0</v>
      </c>
      <c r="S115" s="49">
        <f t="shared" si="32"/>
        <v>0</v>
      </c>
      <c r="T115" s="49">
        <f t="shared" si="32"/>
        <v>0</v>
      </c>
      <c r="U115" s="49">
        <f t="shared" si="32"/>
        <v>0</v>
      </c>
      <c r="V115" s="49">
        <f t="shared" si="32"/>
        <v>0</v>
      </c>
      <c r="W115" s="49">
        <f t="shared" si="32"/>
        <v>16514</v>
      </c>
      <c r="X115" s="49">
        <f>SUM(C115:W115)</f>
        <v>806919.15</v>
      </c>
      <c r="Z115" s="104"/>
    </row>
    <row r="116" spans="1:26" ht="21" customHeight="1">
      <c r="A116" s="502" t="s">
        <v>364</v>
      </c>
      <c r="B116" s="502"/>
      <c r="C116" s="502"/>
      <c r="D116" s="502"/>
      <c r="E116" s="502"/>
      <c r="F116" s="502"/>
      <c r="G116" s="502"/>
      <c r="H116" s="502"/>
      <c r="I116" s="502"/>
      <c r="J116" s="502"/>
      <c r="K116" s="502"/>
      <c r="L116" s="502"/>
      <c r="M116" s="502"/>
      <c r="N116" s="502"/>
      <c r="O116" s="509" t="str">
        <f>+A116</f>
        <v>เทศบาลตำบลเขาพระ อำเภอพิปูน จังหวัดนครศรีธรรมราช</v>
      </c>
      <c r="P116" s="509"/>
      <c r="Q116" s="509"/>
      <c r="R116" s="509"/>
      <c r="S116" s="509"/>
      <c r="T116" s="509"/>
      <c r="U116" s="509"/>
      <c r="V116" s="509"/>
      <c r="W116" s="509"/>
      <c r="X116" s="509"/>
      <c r="Z116" s="124"/>
    </row>
    <row r="117" spans="1:24" ht="21" customHeight="1">
      <c r="A117" s="502" t="s">
        <v>193</v>
      </c>
      <c r="B117" s="502"/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4" t="s">
        <v>193</v>
      </c>
      <c r="P117" s="504"/>
      <c r="Q117" s="504"/>
      <c r="R117" s="504"/>
      <c r="S117" s="504"/>
      <c r="T117" s="504"/>
      <c r="U117" s="504"/>
      <c r="V117" s="504"/>
      <c r="W117" s="504"/>
      <c r="X117" s="504"/>
    </row>
    <row r="118" spans="1:24" ht="21" customHeight="1">
      <c r="A118" s="505" t="s">
        <v>482</v>
      </c>
      <c r="B118" s="505"/>
      <c r="C118" s="505"/>
      <c r="D118" s="505"/>
      <c r="E118" s="505"/>
      <c r="F118" s="505"/>
      <c r="G118" s="505"/>
      <c r="H118" s="505"/>
      <c r="I118" s="505"/>
      <c r="J118" s="505"/>
      <c r="K118" s="505"/>
      <c r="L118" s="505"/>
      <c r="M118" s="505"/>
      <c r="N118" s="505"/>
      <c r="O118" s="506" t="s">
        <v>482</v>
      </c>
      <c r="P118" s="506"/>
      <c r="Q118" s="506"/>
      <c r="R118" s="506"/>
      <c r="S118" s="506"/>
      <c r="T118" s="506"/>
      <c r="U118" s="506"/>
      <c r="V118" s="506"/>
      <c r="W118" s="506"/>
      <c r="X118" s="506"/>
    </row>
    <row r="119" spans="1:24" ht="21" customHeight="1">
      <c r="A119" s="497" t="s">
        <v>194</v>
      </c>
      <c r="B119" s="497"/>
      <c r="C119" s="496" t="s">
        <v>196</v>
      </c>
      <c r="D119" s="496"/>
      <c r="E119" s="499" t="s">
        <v>199</v>
      </c>
      <c r="F119" s="500"/>
      <c r="G119" s="496" t="s">
        <v>201</v>
      </c>
      <c r="H119" s="497"/>
      <c r="I119" s="499" t="s">
        <v>215</v>
      </c>
      <c r="J119" s="500"/>
      <c r="K119" s="323" t="s">
        <v>216</v>
      </c>
      <c r="L119" s="499" t="s">
        <v>217</v>
      </c>
      <c r="M119" s="501"/>
      <c r="N119" s="500"/>
      <c r="O119" s="499" t="s">
        <v>218</v>
      </c>
      <c r="P119" s="500"/>
      <c r="Q119" s="499" t="s">
        <v>219</v>
      </c>
      <c r="R119" s="501"/>
      <c r="S119" s="500"/>
      <c r="T119" s="496" t="s">
        <v>220</v>
      </c>
      <c r="U119" s="497"/>
      <c r="V119" s="323" t="s">
        <v>284</v>
      </c>
      <c r="W119" s="323" t="s">
        <v>221</v>
      </c>
      <c r="X119" s="498" t="s">
        <v>17</v>
      </c>
    </row>
    <row r="120" spans="1:24" ht="21" customHeight="1">
      <c r="A120" s="497" t="s">
        <v>195</v>
      </c>
      <c r="B120" s="497"/>
      <c r="C120" s="323" t="s">
        <v>197</v>
      </c>
      <c r="D120" s="323" t="s">
        <v>198</v>
      </c>
      <c r="E120" s="323" t="s">
        <v>200</v>
      </c>
      <c r="F120" s="323" t="s">
        <v>288</v>
      </c>
      <c r="G120" s="323" t="s">
        <v>202</v>
      </c>
      <c r="H120" s="323" t="s">
        <v>203</v>
      </c>
      <c r="I120" s="323" t="s">
        <v>204</v>
      </c>
      <c r="J120" s="323" t="s">
        <v>205</v>
      </c>
      <c r="K120" s="323" t="s">
        <v>206</v>
      </c>
      <c r="L120" s="323" t="s">
        <v>207</v>
      </c>
      <c r="M120" s="323" t="s">
        <v>208</v>
      </c>
      <c r="N120" s="323" t="s">
        <v>334</v>
      </c>
      <c r="O120" s="322" t="s">
        <v>471</v>
      </c>
      <c r="P120" s="322" t="s">
        <v>209</v>
      </c>
      <c r="Q120" s="323" t="s">
        <v>210</v>
      </c>
      <c r="R120" s="323" t="s">
        <v>211</v>
      </c>
      <c r="S120" s="323" t="s">
        <v>290</v>
      </c>
      <c r="T120" s="323" t="s">
        <v>212</v>
      </c>
      <c r="U120" s="323" t="s">
        <v>213</v>
      </c>
      <c r="V120" s="323" t="s">
        <v>285</v>
      </c>
      <c r="W120" s="323" t="s">
        <v>214</v>
      </c>
      <c r="X120" s="498"/>
    </row>
    <row r="121" spans="1:24" ht="21" customHeight="1">
      <c r="A121" s="488" t="s">
        <v>268</v>
      </c>
      <c r="B121" s="489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91"/>
      <c r="P121" s="191"/>
      <c r="Q121" s="107"/>
      <c r="R121" s="107"/>
      <c r="S121" s="107"/>
      <c r="T121" s="107"/>
      <c r="U121" s="107"/>
      <c r="V121" s="107"/>
      <c r="W121" s="107"/>
      <c r="X121" s="107"/>
    </row>
    <row r="122" spans="1:24" ht="21" customHeight="1">
      <c r="A122" s="108">
        <v>110300</v>
      </c>
      <c r="B122" s="109" t="s">
        <v>222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192"/>
      <c r="P122" s="192"/>
      <c r="Q122" s="76"/>
      <c r="R122" s="76"/>
      <c r="S122" s="76"/>
      <c r="T122" s="76"/>
      <c r="U122" s="76"/>
      <c r="V122" s="76"/>
      <c r="W122" s="76">
        <f>113+8644+113</f>
        <v>8870</v>
      </c>
      <c r="X122" s="110">
        <f>SUM(C122:W122)</f>
        <v>8870</v>
      </c>
    </row>
    <row r="123" spans="1:24" ht="21" customHeight="1">
      <c r="A123" s="108">
        <v>110700</v>
      </c>
      <c r="B123" s="109" t="s">
        <v>123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192"/>
      <c r="P123" s="192"/>
      <c r="Q123" s="76"/>
      <c r="R123" s="76"/>
      <c r="S123" s="76"/>
      <c r="T123" s="76"/>
      <c r="U123" s="76"/>
      <c r="V123" s="76"/>
      <c r="W123" s="76"/>
      <c r="X123" s="110">
        <f aca="true" t="shared" si="33" ref="X123:X128">SUM(C123:W123)</f>
        <v>0</v>
      </c>
    </row>
    <row r="124" spans="1:24" ht="21" customHeight="1">
      <c r="A124" s="108">
        <v>110800</v>
      </c>
      <c r="B124" s="109" t="s">
        <v>129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192"/>
      <c r="P124" s="192"/>
      <c r="Q124" s="76"/>
      <c r="R124" s="76"/>
      <c r="S124" s="76"/>
      <c r="T124" s="76"/>
      <c r="U124" s="76"/>
      <c r="V124" s="76"/>
      <c r="W124" s="76"/>
      <c r="X124" s="110">
        <f t="shared" si="33"/>
        <v>0</v>
      </c>
    </row>
    <row r="125" spans="1:24" ht="21" customHeight="1">
      <c r="A125" s="108">
        <v>110900</v>
      </c>
      <c r="B125" s="109" t="s">
        <v>130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192"/>
      <c r="P125" s="192"/>
      <c r="Q125" s="76"/>
      <c r="R125" s="76"/>
      <c r="S125" s="76"/>
      <c r="T125" s="76"/>
      <c r="U125" s="76"/>
      <c r="V125" s="76"/>
      <c r="W125" s="76">
        <v>8000</v>
      </c>
      <c r="X125" s="110">
        <f t="shared" si="33"/>
        <v>8000</v>
      </c>
    </row>
    <row r="126" spans="1:24" ht="21" customHeight="1">
      <c r="A126" s="108">
        <v>111000</v>
      </c>
      <c r="B126" s="109" t="s">
        <v>131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192"/>
      <c r="P126" s="192"/>
      <c r="Q126" s="76"/>
      <c r="R126" s="76"/>
      <c r="S126" s="76"/>
      <c r="T126" s="76"/>
      <c r="U126" s="76"/>
      <c r="V126" s="76"/>
      <c r="W126" s="76"/>
      <c r="X126" s="110">
        <f t="shared" si="33"/>
        <v>0</v>
      </c>
    </row>
    <row r="127" spans="1:24" ht="21" customHeight="1">
      <c r="A127" s="108">
        <v>111100</v>
      </c>
      <c r="B127" s="109" t="s">
        <v>224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192"/>
      <c r="P127" s="192"/>
      <c r="Q127" s="76"/>
      <c r="R127" s="76"/>
      <c r="S127" s="76"/>
      <c r="T127" s="76"/>
      <c r="U127" s="76"/>
      <c r="V127" s="76"/>
      <c r="W127" s="76"/>
      <c r="X127" s="110">
        <f t="shared" si="33"/>
        <v>0</v>
      </c>
    </row>
    <row r="128" spans="1:24" ht="21" customHeight="1">
      <c r="A128" s="108">
        <v>111100</v>
      </c>
      <c r="B128" s="109" t="s">
        <v>451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192"/>
      <c r="P128" s="192"/>
      <c r="Q128" s="76"/>
      <c r="R128" s="76"/>
      <c r="S128" s="76"/>
      <c r="T128" s="76"/>
      <c r="U128" s="76"/>
      <c r="V128" s="76"/>
      <c r="W128" s="76"/>
      <c r="X128" s="110">
        <f t="shared" si="33"/>
        <v>0</v>
      </c>
    </row>
    <row r="129" spans="1:24" ht="21" customHeight="1">
      <c r="A129" s="111">
        <v>120100</v>
      </c>
      <c r="B129" s="112" t="s">
        <v>223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193"/>
      <c r="P129" s="193"/>
      <c r="Q129" s="87"/>
      <c r="R129" s="87"/>
      <c r="S129" s="87"/>
      <c r="T129" s="87"/>
      <c r="U129" s="87"/>
      <c r="V129" s="87"/>
      <c r="W129" s="87"/>
      <c r="X129" s="113">
        <f>SUM(C129:W129)</f>
        <v>0</v>
      </c>
    </row>
    <row r="130" spans="1:24" ht="21" customHeight="1">
      <c r="A130" s="490" t="s">
        <v>230</v>
      </c>
      <c r="B130" s="491"/>
      <c r="C130" s="110">
        <f>SUM(C122:C129)</f>
        <v>0</v>
      </c>
      <c r="D130" s="110">
        <f aca="true" t="shared" si="34" ref="D130:L130">SUM(D122:D129)</f>
        <v>0</v>
      </c>
      <c r="E130" s="110">
        <f t="shared" si="34"/>
        <v>0</v>
      </c>
      <c r="F130" s="110">
        <f t="shared" si="34"/>
        <v>0</v>
      </c>
      <c r="G130" s="110">
        <f t="shared" si="34"/>
        <v>0</v>
      </c>
      <c r="H130" s="110">
        <f t="shared" si="34"/>
        <v>0</v>
      </c>
      <c r="I130" s="110">
        <f t="shared" si="34"/>
        <v>0</v>
      </c>
      <c r="J130" s="110">
        <f t="shared" si="34"/>
        <v>0</v>
      </c>
      <c r="K130" s="110">
        <f t="shared" si="34"/>
        <v>0</v>
      </c>
      <c r="L130" s="110">
        <f t="shared" si="34"/>
        <v>0</v>
      </c>
      <c r="M130" s="110">
        <f>SUM(M122:M129)</f>
        <v>0</v>
      </c>
      <c r="N130" s="110">
        <f>SUM(N122:N129)</f>
        <v>0</v>
      </c>
      <c r="O130" s="110">
        <f>SUM(O122:O129)</f>
        <v>0</v>
      </c>
      <c r="P130" s="110">
        <f>SUM(P122:P129)</f>
        <v>0</v>
      </c>
      <c r="Q130" s="110">
        <f>SUM(Q122:Q129)</f>
        <v>0</v>
      </c>
      <c r="R130" s="110">
        <f>SUM(R122:R129)</f>
        <v>0</v>
      </c>
      <c r="S130" s="110"/>
      <c r="T130" s="110">
        <f>SUM(T122:T129)</f>
        <v>0</v>
      </c>
      <c r="U130" s="110">
        <f>SUM(U122:U129)</f>
        <v>0</v>
      </c>
      <c r="V130" s="110">
        <f>SUM(V122:V129)</f>
        <v>0</v>
      </c>
      <c r="W130" s="110">
        <f>SUM(W122:W129)</f>
        <v>16870</v>
      </c>
      <c r="X130" s="110">
        <f>SUM(C130:W130)</f>
        <v>16870</v>
      </c>
    </row>
    <row r="131" spans="1:24" ht="21" customHeight="1">
      <c r="A131" s="492" t="s">
        <v>231</v>
      </c>
      <c r="B131" s="493"/>
      <c r="C131" s="114">
        <f>+C130+C16</f>
        <v>0</v>
      </c>
      <c r="D131" s="114">
        <f aca="true" t="shared" si="35" ref="D131:X131">+D130+D16</f>
        <v>0</v>
      </c>
      <c r="E131" s="114">
        <f t="shared" si="35"/>
        <v>0</v>
      </c>
      <c r="F131" s="114">
        <f t="shared" si="35"/>
        <v>0</v>
      </c>
      <c r="G131" s="114">
        <f t="shared" si="35"/>
        <v>0</v>
      </c>
      <c r="H131" s="114">
        <f t="shared" si="35"/>
        <v>0</v>
      </c>
      <c r="I131" s="114">
        <f t="shared" si="35"/>
        <v>0</v>
      </c>
      <c r="J131" s="114">
        <f t="shared" si="35"/>
        <v>0</v>
      </c>
      <c r="K131" s="114">
        <f t="shared" si="35"/>
        <v>0</v>
      </c>
      <c r="L131" s="114">
        <f t="shared" si="35"/>
        <v>0</v>
      </c>
      <c r="M131" s="114">
        <f t="shared" si="35"/>
        <v>0</v>
      </c>
      <c r="N131" s="114">
        <f t="shared" si="35"/>
        <v>0</v>
      </c>
      <c r="O131" s="114">
        <f t="shared" si="35"/>
        <v>0</v>
      </c>
      <c r="P131" s="114">
        <f t="shared" si="35"/>
        <v>0</v>
      </c>
      <c r="Q131" s="114">
        <f t="shared" si="35"/>
        <v>0</v>
      </c>
      <c r="R131" s="114">
        <f t="shared" si="35"/>
        <v>0</v>
      </c>
      <c r="S131" s="114">
        <f t="shared" si="35"/>
        <v>0</v>
      </c>
      <c r="T131" s="114">
        <f t="shared" si="35"/>
        <v>0</v>
      </c>
      <c r="U131" s="114">
        <f t="shared" si="35"/>
        <v>0</v>
      </c>
      <c r="V131" s="114">
        <f t="shared" si="35"/>
        <v>0</v>
      </c>
      <c r="W131" s="114">
        <f t="shared" si="35"/>
        <v>33384</v>
      </c>
      <c r="X131" s="114">
        <f t="shared" si="35"/>
        <v>33384</v>
      </c>
    </row>
    <row r="132" spans="1:24" ht="21" customHeight="1">
      <c r="A132" s="488" t="s">
        <v>269</v>
      </c>
      <c r="B132" s="489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95"/>
      <c r="P132" s="195"/>
      <c r="Q132" s="115"/>
      <c r="R132" s="115"/>
      <c r="S132" s="115"/>
      <c r="T132" s="115"/>
      <c r="U132" s="115"/>
      <c r="V132" s="115"/>
      <c r="W132" s="115"/>
      <c r="X132" s="116">
        <f aca="true" t="shared" si="36" ref="X132:X137">SUM(C132:W132)</f>
        <v>0</v>
      </c>
    </row>
    <row r="133" spans="1:24" ht="21" customHeight="1">
      <c r="A133" s="108">
        <v>210100</v>
      </c>
      <c r="B133" s="73" t="s">
        <v>225</v>
      </c>
      <c r="C133" s="76">
        <v>57960</v>
      </c>
      <c r="D133" s="76">
        <v>0</v>
      </c>
      <c r="E133" s="76"/>
      <c r="F133" s="76"/>
      <c r="G133" s="76"/>
      <c r="H133" s="76"/>
      <c r="I133" s="76"/>
      <c r="J133" s="76"/>
      <c r="K133" s="76"/>
      <c r="L133" s="76">
        <v>0</v>
      </c>
      <c r="M133" s="76"/>
      <c r="N133" s="76"/>
      <c r="O133" s="192"/>
      <c r="P133" s="192"/>
      <c r="Q133" s="76"/>
      <c r="R133" s="76"/>
      <c r="S133" s="76"/>
      <c r="T133" s="76"/>
      <c r="U133" s="76"/>
      <c r="V133" s="76"/>
      <c r="W133" s="76"/>
      <c r="X133" s="110">
        <f t="shared" si="36"/>
        <v>57960</v>
      </c>
    </row>
    <row r="134" spans="1:24" ht="21" customHeight="1">
      <c r="A134" s="108">
        <v>210200</v>
      </c>
      <c r="B134" s="73" t="s">
        <v>229</v>
      </c>
      <c r="C134" s="76">
        <v>10000</v>
      </c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192"/>
      <c r="P134" s="192"/>
      <c r="Q134" s="76"/>
      <c r="R134" s="76"/>
      <c r="S134" s="76"/>
      <c r="T134" s="76"/>
      <c r="U134" s="76"/>
      <c r="V134" s="76"/>
      <c r="W134" s="76"/>
      <c r="X134" s="110">
        <f t="shared" si="36"/>
        <v>10000</v>
      </c>
    </row>
    <row r="135" spans="1:24" ht="21" customHeight="1">
      <c r="A135" s="108">
        <v>210300</v>
      </c>
      <c r="B135" s="73" t="s">
        <v>226</v>
      </c>
      <c r="C135" s="76">
        <v>10000</v>
      </c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192"/>
      <c r="P135" s="192"/>
      <c r="Q135" s="76"/>
      <c r="R135" s="76"/>
      <c r="S135" s="76"/>
      <c r="T135" s="76"/>
      <c r="U135" s="76"/>
      <c r="V135" s="76"/>
      <c r="W135" s="76"/>
      <c r="X135" s="110">
        <f t="shared" si="36"/>
        <v>10000</v>
      </c>
    </row>
    <row r="136" spans="1:24" ht="21" customHeight="1">
      <c r="A136" s="108">
        <v>210400</v>
      </c>
      <c r="B136" s="73" t="s">
        <v>227</v>
      </c>
      <c r="C136" s="76">
        <v>16560</v>
      </c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192"/>
      <c r="P136" s="192"/>
      <c r="Q136" s="76"/>
      <c r="R136" s="76"/>
      <c r="S136" s="76"/>
      <c r="T136" s="76"/>
      <c r="U136" s="76"/>
      <c r="V136" s="76"/>
      <c r="W136" s="76"/>
      <c r="X136" s="110">
        <f t="shared" si="36"/>
        <v>16560</v>
      </c>
    </row>
    <row r="137" spans="1:24" ht="21" customHeight="1">
      <c r="A137" s="111">
        <v>210600</v>
      </c>
      <c r="B137" s="74" t="s">
        <v>228</v>
      </c>
      <c r="C137" s="76">
        <v>124200</v>
      </c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193"/>
      <c r="P137" s="193"/>
      <c r="Q137" s="87"/>
      <c r="R137" s="87"/>
      <c r="S137" s="87"/>
      <c r="T137" s="87"/>
      <c r="U137" s="87"/>
      <c r="V137" s="87"/>
      <c r="W137" s="87"/>
      <c r="X137" s="113">
        <f t="shared" si="36"/>
        <v>124200</v>
      </c>
    </row>
    <row r="138" spans="1:24" ht="21" customHeight="1">
      <c r="A138" s="490" t="s">
        <v>230</v>
      </c>
      <c r="B138" s="491"/>
      <c r="C138" s="110">
        <f>SUM(C133:C137)</f>
        <v>218720</v>
      </c>
      <c r="D138" s="110">
        <f>SUM(D132:D137)</f>
        <v>0</v>
      </c>
      <c r="E138" s="110">
        <f>SUM(E132:E137)</f>
        <v>0</v>
      </c>
      <c r="F138" s="110">
        <f aca="true" t="shared" si="37" ref="F138:L138">SUM(F132:F137)</f>
        <v>0</v>
      </c>
      <c r="G138" s="110">
        <f t="shared" si="37"/>
        <v>0</v>
      </c>
      <c r="H138" s="110">
        <f t="shared" si="37"/>
        <v>0</v>
      </c>
      <c r="I138" s="110">
        <f t="shared" si="37"/>
        <v>0</v>
      </c>
      <c r="J138" s="110">
        <f t="shared" si="37"/>
        <v>0</v>
      </c>
      <c r="K138" s="110">
        <f t="shared" si="37"/>
        <v>0</v>
      </c>
      <c r="L138" s="110">
        <f t="shared" si="37"/>
        <v>0</v>
      </c>
      <c r="M138" s="110">
        <f>SUM(M132:M137)</f>
        <v>0</v>
      </c>
      <c r="N138" s="110">
        <f>SUM(N132:N137)</f>
        <v>0</v>
      </c>
      <c r="O138" s="110">
        <f>SUM(O132:O137)</f>
        <v>0</v>
      </c>
      <c r="P138" s="110">
        <f>SUM(P132:P137)</f>
        <v>0</v>
      </c>
      <c r="Q138" s="110">
        <f>SUM(Q132:Q137)</f>
        <v>0</v>
      </c>
      <c r="R138" s="110">
        <f>SUM(R132:R137)</f>
        <v>0</v>
      </c>
      <c r="S138" s="110"/>
      <c r="T138" s="110">
        <f>SUM(T132:T137)</f>
        <v>0</v>
      </c>
      <c r="U138" s="110">
        <f>SUM(U132:U137)</f>
        <v>0</v>
      </c>
      <c r="V138" s="110">
        <f>SUM(V132:V137)</f>
        <v>0</v>
      </c>
      <c r="W138" s="110">
        <f>SUM(W132:W137)</f>
        <v>0</v>
      </c>
      <c r="X138" s="110">
        <f>SUM(C138:W138)</f>
        <v>218720</v>
      </c>
    </row>
    <row r="139" spans="1:24" ht="21" customHeight="1">
      <c r="A139" s="492" t="s">
        <v>231</v>
      </c>
      <c r="B139" s="493"/>
      <c r="C139" s="110">
        <f>+C138+C24</f>
        <v>432454</v>
      </c>
      <c r="D139" s="110">
        <f aca="true" t="shared" si="38" ref="D139:X139">+D138+D24</f>
        <v>0</v>
      </c>
      <c r="E139" s="110">
        <f t="shared" si="38"/>
        <v>0</v>
      </c>
      <c r="F139" s="110">
        <f t="shared" si="38"/>
        <v>0</v>
      </c>
      <c r="G139" s="110">
        <f t="shared" si="38"/>
        <v>0</v>
      </c>
      <c r="H139" s="110">
        <f t="shared" si="38"/>
        <v>0</v>
      </c>
      <c r="I139" s="110">
        <f t="shared" si="38"/>
        <v>0</v>
      </c>
      <c r="J139" s="110">
        <f t="shared" si="38"/>
        <v>0</v>
      </c>
      <c r="K139" s="110">
        <f t="shared" si="38"/>
        <v>0</v>
      </c>
      <c r="L139" s="110">
        <f t="shared" si="38"/>
        <v>0</v>
      </c>
      <c r="M139" s="110">
        <f t="shared" si="38"/>
        <v>0</v>
      </c>
      <c r="N139" s="110">
        <f t="shared" si="38"/>
        <v>0</v>
      </c>
      <c r="O139" s="110">
        <f t="shared" si="38"/>
        <v>0</v>
      </c>
      <c r="P139" s="110">
        <f t="shared" si="38"/>
        <v>0</v>
      </c>
      <c r="Q139" s="110">
        <f t="shared" si="38"/>
        <v>0</v>
      </c>
      <c r="R139" s="110">
        <f t="shared" si="38"/>
        <v>0</v>
      </c>
      <c r="S139" s="110">
        <f t="shared" si="38"/>
        <v>0</v>
      </c>
      <c r="T139" s="110">
        <f t="shared" si="38"/>
        <v>0</v>
      </c>
      <c r="U139" s="110">
        <f t="shared" si="38"/>
        <v>0</v>
      </c>
      <c r="V139" s="110">
        <f t="shared" si="38"/>
        <v>0</v>
      </c>
      <c r="W139" s="110">
        <f t="shared" si="38"/>
        <v>0</v>
      </c>
      <c r="X139" s="110">
        <f t="shared" si="38"/>
        <v>432454</v>
      </c>
    </row>
    <row r="140" spans="1:24" ht="21" customHeight="1">
      <c r="A140" s="488" t="s">
        <v>270</v>
      </c>
      <c r="B140" s="489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95"/>
      <c r="P140" s="195"/>
      <c r="Q140" s="115"/>
      <c r="R140" s="115"/>
      <c r="S140" s="115"/>
      <c r="T140" s="115"/>
      <c r="U140" s="115"/>
      <c r="V140" s="115"/>
      <c r="W140" s="115"/>
      <c r="X140" s="116">
        <f>SUM(C140:W140)</f>
        <v>0</v>
      </c>
    </row>
    <row r="141" spans="1:24" ht="21" customHeight="1">
      <c r="A141" s="108">
        <v>220100</v>
      </c>
      <c r="B141" s="73" t="s">
        <v>232</v>
      </c>
      <c r="C141" s="76">
        <v>193692</v>
      </c>
      <c r="D141" s="76">
        <v>62800</v>
      </c>
      <c r="E141" s="76">
        <v>20770</v>
      </c>
      <c r="F141" s="76">
        <v>0</v>
      </c>
      <c r="G141" s="76"/>
      <c r="H141" s="76"/>
      <c r="I141" s="76"/>
      <c r="J141" s="76"/>
      <c r="K141" s="76"/>
      <c r="L141" s="76">
        <v>46530</v>
      </c>
      <c r="M141" s="76"/>
      <c r="N141" s="76"/>
      <c r="O141" s="192">
        <v>16960</v>
      </c>
      <c r="P141" s="192"/>
      <c r="Q141" s="76"/>
      <c r="R141" s="76"/>
      <c r="S141" s="76"/>
      <c r="T141" s="76"/>
      <c r="U141" s="76"/>
      <c r="V141" s="76"/>
      <c r="W141" s="76"/>
      <c r="X141" s="110">
        <f>SUM(C141:W141)</f>
        <v>340752</v>
      </c>
    </row>
    <row r="142" spans="1:24" ht="21" customHeight="1">
      <c r="A142" s="108">
        <v>220200</v>
      </c>
      <c r="B142" s="73" t="s">
        <v>233</v>
      </c>
      <c r="C142" s="76">
        <v>5600</v>
      </c>
      <c r="D142" s="76">
        <v>655</v>
      </c>
      <c r="E142" s="76"/>
      <c r="F142" s="76"/>
      <c r="G142" s="76"/>
      <c r="H142" s="76"/>
      <c r="I142" s="76"/>
      <c r="J142" s="76"/>
      <c r="K142" s="76"/>
      <c r="L142" s="76">
        <v>0</v>
      </c>
      <c r="M142" s="76"/>
      <c r="N142" s="76"/>
      <c r="O142" s="192"/>
      <c r="P142" s="192"/>
      <c r="Q142" s="76"/>
      <c r="R142" s="76"/>
      <c r="S142" s="76"/>
      <c r="T142" s="76"/>
      <c r="U142" s="76"/>
      <c r="V142" s="76"/>
      <c r="W142" s="76"/>
      <c r="X142" s="110">
        <f>SUM(C142:W142)</f>
        <v>6255</v>
      </c>
    </row>
    <row r="143" spans="1:24" ht="21" customHeight="1">
      <c r="A143" s="108">
        <v>220300</v>
      </c>
      <c r="B143" s="73" t="s">
        <v>234</v>
      </c>
      <c r="C143" s="76">
        <v>9100</v>
      </c>
      <c r="D143" s="76">
        <v>0</v>
      </c>
      <c r="E143" s="76"/>
      <c r="F143" s="76"/>
      <c r="G143" s="76"/>
      <c r="H143" s="76"/>
      <c r="I143" s="76"/>
      <c r="J143" s="76"/>
      <c r="K143" s="76"/>
      <c r="L143" s="76">
        <v>0</v>
      </c>
      <c r="M143" s="76"/>
      <c r="N143" s="76"/>
      <c r="O143" s="192"/>
      <c r="P143" s="192"/>
      <c r="Q143" s="76"/>
      <c r="R143" s="76"/>
      <c r="S143" s="76"/>
      <c r="T143" s="76"/>
      <c r="U143" s="76"/>
      <c r="V143" s="76"/>
      <c r="W143" s="76"/>
      <c r="X143" s="110">
        <f>SUM(C143:W143)</f>
        <v>9100</v>
      </c>
    </row>
    <row r="144" spans="1:24" ht="21" customHeight="1">
      <c r="A144" s="108">
        <v>220400</v>
      </c>
      <c r="B144" s="73" t="s">
        <v>3</v>
      </c>
      <c r="C144" s="76"/>
      <c r="D144" s="76">
        <v>55035</v>
      </c>
      <c r="E144" s="76"/>
      <c r="F144" s="76"/>
      <c r="G144" s="76"/>
      <c r="H144" s="76"/>
      <c r="I144" s="76"/>
      <c r="J144" s="76"/>
      <c r="K144" s="76"/>
      <c r="L144" s="76">
        <v>0</v>
      </c>
      <c r="M144" s="76"/>
      <c r="N144" s="76"/>
      <c r="O144" s="192"/>
      <c r="P144" s="192"/>
      <c r="Q144" s="76"/>
      <c r="R144" s="76"/>
      <c r="S144" s="76"/>
      <c r="T144" s="76"/>
      <c r="U144" s="76"/>
      <c r="V144" s="76"/>
      <c r="W144" s="76"/>
      <c r="X144" s="110">
        <f>SUM(C144:W144)</f>
        <v>55035</v>
      </c>
    </row>
    <row r="145" spans="1:24" ht="21" customHeight="1">
      <c r="A145" s="108">
        <v>220500</v>
      </c>
      <c r="B145" s="73" t="s">
        <v>235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>
        <v>0</v>
      </c>
      <c r="M145" s="76"/>
      <c r="N145" s="76"/>
      <c r="O145" s="192"/>
      <c r="P145" s="192"/>
      <c r="Q145" s="76"/>
      <c r="R145" s="76"/>
      <c r="S145" s="76"/>
      <c r="T145" s="76"/>
      <c r="U145" s="76"/>
      <c r="V145" s="76"/>
      <c r="W145" s="76"/>
      <c r="X145" s="110">
        <f>SUM(C145:W145)</f>
        <v>0</v>
      </c>
    </row>
    <row r="146" spans="1:24" ht="21" customHeight="1">
      <c r="A146" s="497" t="s">
        <v>194</v>
      </c>
      <c r="B146" s="497"/>
      <c r="C146" s="496" t="s">
        <v>196</v>
      </c>
      <c r="D146" s="496"/>
      <c r="E146" s="499" t="s">
        <v>199</v>
      </c>
      <c r="F146" s="500"/>
      <c r="G146" s="496" t="s">
        <v>201</v>
      </c>
      <c r="H146" s="497"/>
      <c r="I146" s="499" t="s">
        <v>215</v>
      </c>
      <c r="J146" s="500"/>
      <c r="K146" s="323" t="s">
        <v>216</v>
      </c>
      <c r="L146" s="499" t="s">
        <v>217</v>
      </c>
      <c r="M146" s="501"/>
      <c r="N146" s="500"/>
      <c r="O146" s="499" t="s">
        <v>218</v>
      </c>
      <c r="P146" s="500"/>
      <c r="Q146" s="499" t="s">
        <v>219</v>
      </c>
      <c r="R146" s="501"/>
      <c r="S146" s="500"/>
      <c r="T146" s="496" t="s">
        <v>220</v>
      </c>
      <c r="U146" s="497"/>
      <c r="V146" s="323" t="s">
        <v>284</v>
      </c>
      <c r="W146" s="323" t="s">
        <v>221</v>
      </c>
      <c r="X146" s="498" t="s">
        <v>17</v>
      </c>
    </row>
    <row r="147" spans="1:24" ht="21" customHeight="1">
      <c r="A147" s="497" t="s">
        <v>195</v>
      </c>
      <c r="B147" s="497"/>
      <c r="C147" s="323" t="s">
        <v>197</v>
      </c>
      <c r="D147" s="323" t="s">
        <v>198</v>
      </c>
      <c r="E147" s="323" t="s">
        <v>200</v>
      </c>
      <c r="F147" s="323" t="s">
        <v>288</v>
      </c>
      <c r="G147" s="323" t="s">
        <v>202</v>
      </c>
      <c r="H147" s="323" t="s">
        <v>203</v>
      </c>
      <c r="I147" s="323" t="s">
        <v>204</v>
      </c>
      <c r="J147" s="323" t="s">
        <v>205</v>
      </c>
      <c r="K147" s="323" t="s">
        <v>206</v>
      </c>
      <c r="L147" s="323" t="s">
        <v>207</v>
      </c>
      <c r="M147" s="323" t="s">
        <v>208</v>
      </c>
      <c r="N147" s="323" t="s">
        <v>334</v>
      </c>
      <c r="O147" s="322" t="s">
        <v>471</v>
      </c>
      <c r="P147" s="322" t="s">
        <v>209</v>
      </c>
      <c r="Q147" s="323" t="s">
        <v>210</v>
      </c>
      <c r="R147" s="323" t="s">
        <v>211</v>
      </c>
      <c r="S147" s="323" t="s">
        <v>290</v>
      </c>
      <c r="T147" s="323" t="s">
        <v>212</v>
      </c>
      <c r="U147" s="323" t="s">
        <v>213</v>
      </c>
      <c r="V147" s="323" t="s">
        <v>285</v>
      </c>
      <c r="W147" s="323" t="s">
        <v>214</v>
      </c>
      <c r="X147" s="498"/>
    </row>
    <row r="148" spans="1:24" ht="21" customHeight="1">
      <c r="A148" s="108">
        <v>220600</v>
      </c>
      <c r="B148" s="73" t="s">
        <v>236</v>
      </c>
      <c r="C148" s="76">
        <v>57060</v>
      </c>
      <c r="D148" s="76">
        <v>14000</v>
      </c>
      <c r="E148" s="76"/>
      <c r="F148" s="76"/>
      <c r="G148" s="76">
        <f>2240+18480</f>
        <v>20720</v>
      </c>
      <c r="H148" s="84"/>
      <c r="I148" s="76">
        <v>25260</v>
      </c>
      <c r="J148" s="76"/>
      <c r="K148" s="76"/>
      <c r="L148" s="76">
        <v>28080</v>
      </c>
      <c r="M148" s="76"/>
      <c r="N148" s="76"/>
      <c r="O148" s="192">
        <v>25940</v>
      </c>
      <c r="P148" s="192"/>
      <c r="Q148" s="76"/>
      <c r="R148" s="76"/>
      <c r="S148" s="76"/>
      <c r="T148" s="76"/>
      <c r="U148" s="76"/>
      <c r="V148" s="76"/>
      <c r="W148" s="76"/>
      <c r="X148" s="110">
        <f>SUM(C148:W148)</f>
        <v>171060</v>
      </c>
    </row>
    <row r="149" spans="1:24" ht="21" customHeight="1">
      <c r="A149" s="111">
        <v>220700</v>
      </c>
      <c r="B149" s="74" t="s">
        <v>237</v>
      </c>
      <c r="C149" s="76">
        <v>4500</v>
      </c>
      <c r="D149" s="87"/>
      <c r="E149" s="87"/>
      <c r="F149" s="87"/>
      <c r="G149" s="145"/>
      <c r="H149" s="145"/>
      <c r="I149" s="87">
        <v>1500</v>
      </c>
      <c r="J149" s="87"/>
      <c r="K149" s="87"/>
      <c r="L149" s="76">
        <v>1500</v>
      </c>
      <c r="M149" s="87"/>
      <c r="N149" s="87"/>
      <c r="O149" s="193">
        <v>1500</v>
      </c>
      <c r="P149" s="193"/>
      <c r="Q149" s="87"/>
      <c r="R149" s="87"/>
      <c r="S149" s="87"/>
      <c r="T149" s="87"/>
      <c r="U149" s="87"/>
      <c r="V149" s="87"/>
      <c r="W149" s="87"/>
      <c r="X149" s="110">
        <f>SUM(C149:W149)</f>
        <v>9000</v>
      </c>
    </row>
    <row r="150" spans="1:26" ht="21" customHeight="1">
      <c r="A150" s="490" t="s">
        <v>230</v>
      </c>
      <c r="B150" s="491"/>
      <c r="C150" s="110">
        <f>SUM(C140:C149)</f>
        <v>269952</v>
      </c>
      <c r="D150" s="110">
        <f aca="true" t="shared" si="39" ref="D150:X150">SUM(D140:D149)</f>
        <v>132490</v>
      </c>
      <c r="E150" s="110">
        <f t="shared" si="39"/>
        <v>20770</v>
      </c>
      <c r="F150" s="110">
        <f t="shared" si="39"/>
        <v>0</v>
      </c>
      <c r="G150" s="110">
        <f t="shared" si="39"/>
        <v>20720</v>
      </c>
      <c r="H150" s="110">
        <f t="shared" si="39"/>
        <v>0</v>
      </c>
      <c r="I150" s="110">
        <f t="shared" si="39"/>
        <v>26760</v>
      </c>
      <c r="J150" s="110">
        <f t="shared" si="39"/>
        <v>0</v>
      </c>
      <c r="K150" s="110">
        <f t="shared" si="39"/>
        <v>0</v>
      </c>
      <c r="L150" s="110">
        <f t="shared" si="39"/>
        <v>76110</v>
      </c>
      <c r="M150" s="110">
        <f t="shared" si="39"/>
        <v>0</v>
      </c>
      <c r="N150" s="110">
        <f t="shared" si="39"/>
        <v>0</v>
      </c>
      <c r="O150" s="110">
        <f t="shared" si="39"/>
        <v>44400</v>
      </c>
      <c r="P150" s="110">
        <f t="shared" si="39"/>
        <v>0</v>
      </c>
      <c r="Q150" s="110">
        <f t="shared" si="39"/>
        <v>0</v>
      </c>
      <c r="R150" s="110">
        <f t="shared" si="39"/>
        <v>0</v>
      </c>
      <c r="S150" s="110">
        <f t="shared" si="39"/>
        <v>0</v>
      </c>
      <c r="T150" s="110">
        <f t="shared" si="39"/>
        <v>0</v>
      </c>
      <c r="U150" s="110">
        <f t="shared" si="39"/>
        <v>0</v>
      </c>
      <c r="V150" s="110">
        <f t="shared" si="39"/>
        <v>0</v>
      </c>
      <c r="W150" s="110">
        <f t="shared" si="39"/>
        <v>0</v>
      </c>
      <c r="X150" s="110">
        <f t="shared" si="39"/>
        <v>591202</v>
      </c>
      <c r="Y150" s="106">
        <f>356107+55035+180060</f>
        <v>591202</v>
      </c>
      <c r="Z150" s="124">
        <f>+Y150-X150</f>
        <v>0</v>
      </c>
    </row>
    <row r="151" spans="1:26" ht="21" customHeight="1">
      <c r="A151" s="492" t="s">
        <v>231</v>
      </c>
      <c r="B151" s="493"/>
      <c r="C151" s="114">
        <f>+C150+C36</f>
        <v>529482</v>
      </c>
      <c r="D151" s="114">
        <f aca="true" t="shared" si="40" ref="D151:X151">+D150+D36</f>
        <v>220990</v>
      </c>
      <c r="E151" s="114">
        <f t="shared" si="40"/>
        <v>41540</v>
      </c>
      <c r="F151" s="114">
        <f t="shared" si="40"/>
        <v>0</v>
      </c>
      <c r="G151" s="114">
        <f t="shared" si="40"/>
        <v>36960</v>
      </c>
      <c r="H151" s="114">
        <f t="shared" si="40"/>
        <v>0</v>
      </c>
      <c r="I151" s="114">
        <f t="shared" si="40"/>
        <v>53520</v>
      </c>
      <c r="J151" s="114">
        <f t="shared" si="40"/>
        <v>0</v>
      </c>
      <c r="K151" s="114">
        <f t="shared" si="40"/>
        <v>0</v>
      </c>
      <c r="L151" s="114">
        <f t="shared" si="40"/>
        <v>153188</v>
      </c>
      <c r="M151" s="114">
        <f t="shared" si="40"/>
        <v>0</v>
      </c>
      <c r="N151" s="114">
        <f t="shared" si="40"/>
        <v>0</v>
      </c>
      <c r="O151" s="114">
        <f t="shared" si="40"/>
        <v>88800</v>
      </c>
      <c r="P151" s="114">
        <f t="shared" si="40"/>
        <v>0</v>
      </c>
      <c r="Q151" s="114">
        <f t="shared" si="40"/>
        <v>0</v>
      </c>
      <c r="R151" s="114">
        <f t="shared" si="40"/>
        <v>0</v>
      </c>
      <c r="S151" s="114">
        <f t="shared" si="40"/>
        <v>0</v>
      </c>
      <c r="T151" s="114">
        <f t="shared" si="40"/>
        <v>0</v>
      </c>
      <c r="U151" s="114">
        <f t="shared" si="40"/>
        <v>0</v>
      </c>
      <c r="V151" s="114">
        <f t="shared" si="40"/>
        <v>0</v>
      </c>
      <c r="W151" s="114">
        <f t="shared" si="40"/>
        <v>0</v>
      </c>
      <c r="X151" s="114">
        <f t="shared" si="40"/>
        <v>1124480</v>
      </c>
      <c r="Y151" s="106">
        <f>689130+82320+353030</f>
        <v>1124480</v>
      </c>
      <c r="Z151" s="124">
        <f>+Y151-X151</f>
        <v>0</v>
      </c>
    </row>
    <row r="152" spans="1:24" ht="21" customHeight="1">
      <c r="A152" s="488" t="s">
        <v>271</v>
      </c>
      <c r="B152" s="489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95"/>
      <c r="P152" s="195"/>
      <c r="Q152" s="115"/>
      <c r="R152" s="115"/>
      <c r="S152" s="115"/>
      <c r="T152" s="115"/>
      <c r="U152" s="115"/>
      <c r="V152" s="115"/>
      <c r="W152" s="115"/>
      <c r="X152" s="116">
        <f aca="true" t="shared" si="41" ref="X152:X158">SUM(C152:W152)</f>
        <v>0</v>
      </c>
    </row>
    <row r="153" spans="1:25" ht="21" customHeight="1">
      <c r="A153" s="108">
        <v>310100</v>
      </c>
      <c r="B153" s="73" t="s">
        <v>238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192"/>
      <c r="P153" s="192"/>
      <c r="Q153" s="76"/>
      <c r="R153" s="76"/>
      <c r="S153" s="76"/>
      <c r="T153" s="76"/>
      <c r="U153" s="76"/>
      <c r="V153" s="76"/>
      <c r="W153" s="76"/>
      <c r="X153" s="110">
        <f t="shared" si="41"/>
        <v>0</v>
      </c>
      <c r="Y153" s="106">
        <f>588962+2240</f>
        <v>591202</v>
      </c>
    </row>
    <row r="154" spans="1:24" ht="21" customHeight="1">
      <c r="A154" s="108">
        <v>310200</v>
      </c>
      <c r="B154" s="73" t="s">
        <v>239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192"/>
      <c r="P154" s="192"/>
      <c r="Q154" s="76"/>
      <c r="R154" s="76"/>
      <c r="S154" s="76"/>
      <c r="T154" s="76"/>
      <c r="U154" s="76"/>
      <c r="V154" s="76"/>
      <c r="W154" s="76"/>
      <c r="X154" s="110">
        <f t="shared" si="41"/>
        <v>0</v>
      </c>
    </row>
    <row r="155" spans="1:24" ht="21" customHeight="1">
      <c r="A155" s="108">
        <v>310300</v>
      </c>
      <c r="B155" s="73" t="s">
        <v>240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192"/>
      <c r="P155" s="192"/>
      <c r="Q155" s="76"/>
      <c r="R155" s="76"/>
      <c r="S155" s="76"/>
      <c r="T155" s="76"/>
      <c r="U155" s="76"/>
      <c r="V155" s="76"/>
      <c r="W155" s="76"/>
      <c r="X155" s="110">
        <f t="shared" si="41"/>
        <v>0</v>
      </c>
    </row>
    <row r="156" spans="1:24" ht="21" customHeight="1">
      <c r="A156" s="108">
        <v>310400</v>
      </c>
      <c r="B156" s="73" t="s">
        <v>241</v>
      </c>
      <c r="C156" s="76">
        <v>14300</v>
      </c>
      <c r="D156" s="76">
        <v>4250</v>
      </c>
      <c r="E156" s="76"/>
      <c r="F156" s="76">
        <v>2500</v>
      </c>
      <c r="G156" s="76"/>
      <c r="H156" s="76"/>
      <c r="I156" s="76"/>
      <c r="J156" s="76"/>
      <c r="K156" s="76"/>
      <c r="L156" s="76">
        <v>4700</v>
      </c>
      <c r="M156" s="76"/>
      <c r="N156" s="76"/>
      <c r="O156" s="192">
        <v>1950</v>
      </c>
      <c r="P156" s="192"/>
      <c r="Q156" s="76"/>
      <c r="R156" s="76"/>
      <c r="S156" s="76"/>
      <c r="T156" s="76"/>
      <c r="U156" s="76"/>
      <c r="V156" s="76"/>
      <c r="W156" s="76"/>
      <c r="X156" s="110">
        <f t="shared" si="41"/>
        <v>27700</v>
      </c>
    </row>
    <row r="157" spans="1:24" ht="21" customHeight="1">
      <c r="A157" s="108">
        <v>310500</v>
      </c>
      <c r="B157" s="73" t="s">
        <v>242</v>
      </c>
      <c r="C157" s="76">
        <f>1937+1937</f>
        <v>3874</v>
      </c>
      <c r="D157" s="76"/>
      <c r="E157" s="76"/>
      <c r="F157" s="76">
        <v>0</v>
      </c>
      <c r="G157" s="76"/>
      <c r="H157" s="76"/>
      <c r="I157" s="76"/>
      <c r="J157" s="76"/>
      <c r="K157" s="76"/>
      <c r="L157" s="76"/>
      <c r="M157" s="76"/>
      <c r="N157" s="76"/>
      <c r="O157" s="192">
        <v>0</v>
      </c>
      <c r="P157" s="192"/>
      <c r="Q157" s="76"/>
      <c r="R157" s="76"/>
      <c r="S157" s="76"/>
      <c r="T157" s="76"/>
      <c r="U157" s="76"/>
      <c r="V157" s="76"/>
      <c r="W157" s="76"/>
      <c r="X157" s="110">
        <f t="shared" si="41"/>
        <v>3874</v>
      </c>
    </row>
    <row r="158" spans="1:24" ht="21" customHeight="1">
      <c r="A158" s="111">
        <v>310600</v>
      </c>
      <c r="B158" s="74" t="s">
        <v>243</v>
      </c>
      <c r="C158" s="76"/>
      <c r="D158" s="76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193"/>
      <c r="P158" s="193"/>
      <c r="Q158" s="87"/>
      <c r="R158" s="87"/>
      <c r="S158" s="87"/>
      <c r="T158" s="87"/>
      <c r="U158" s="87"/>
      <c r="V158" s="87"/>
      <c r="W158" s="87"/>
      <c r="X158" s="113">
        <f t="shared" si="41"/>
        <v>0</v>
      </c>
    </row>
    <row r="159" spans="1:24" ht="21" customHeight="1">
      <c r="A159" s="490" t="s">
        <v>230</v>
      </c>
      <c r="B159" s="491"/>
      <c r="C159" s="110">
        <f>SUM(C153:C158)</f>
        <v>18174</v>
      </c>
      <c r="D159" s="110">
        <f aca="true" t="shared" si="42" ref="D159:W159">SUM(D153:D158)</f>
        <v>4250</v>
      </c>
      <c r="E159" s="110">
        <f t="shared" si="42"/>
        <v>0</v>
      </c>
      <c r="F159" s="110">
        <f t="shared" si="42"/>
        <v>2500</v>
      </c>
      <c r="G159" s="110">
        <f t="shared" si="42"/>
        <v>0</v>
      </c>
      <c r="H159" s="110">
        <f t="shared" si="42"/>
        <v>0</v>
      </c>
      <c r="I159" s="110">
        <f t="shared" si="42"/>
        <v>0</v>
      </c>
      <c r="J159" s="110">
        <f t="shared" si="42"/>
        <v>0</v>
      </c>
      <c r="K159" s="110">
        <f t="shared" si="42"/>
        <v>0</v>
      </c>
      <c r="L159" s="110">
        <f t="shared" si="42"/>
        <v>4700</v>
      </c>
      <c r="M159" s="110">
        <f t="shared" si="42"/>
        <v>0</v>
      </c>
      <c r="N159" s="110">
        <f t="shared" si="42"/>
        <v>0</v>
      </c>
      <c r="O159" s="110">
        <f t="shared" si="42"/>
        <v>1950</v>
      </c>
      <c r="P159" s="110">
        <f t="shared" si="42"/>
        <v>0</v>
      </c>
      <c r="Q159" s="110">
        <f t="shared" si="42"/>
        <v>0</v>
      </c>
      <c r="R159" s="110">
        <f t="shared" si="42"/>
        <v>0</v>
      </c>
      <c r="S159" s="110">
        <f t="shared" si="42"/>
        <v>0</v>
      </c>
      <c r="T159" s="110">
        <f t="shared" si="42"/>
        <v>0</v>
      </c>
      <c r="U159" s="110">
        <f t="shared" si="42"/>
        <v>0</v>
      </c>
      <c r="V159" s="110">
        <f t="shared" si="42"/>
        <v>0</v>
      </c>
      <c r="W159" s="110">
        <f t="shared" si="42"/>
        <v>0</v>
      </c>
      <c r="X159" s="110">
        <f>SUM(C159:W159)</f>
        <v>31574</v>
      </c>
    </row>
    <row r="160" spans="1:24" ht="21" customHeight="1">
      <c r="A160" s="492" t="s">
        <v>231</v>
      </c>
      <c r="B160" s="493"/>
      <c r="C160" s="114">
        <f>+C159+C45</f>
        <v>18174</v>
      </c>
      <c r="D160" s="114">
        <f aca="true" t="shared" si="43" ref="D160:X160">+D159+D45</f>
        <v>4250</v>
      </c>
      <c r="E160" s="114">
        <f t="shared" si="43"/>
        <v>0</v>
      </c>
      <c r="F160" s="114">
        <f t="shared" si="43"/>
        <v>2500</v>
      </c>
      <c r="G160" s="114">
        <f t="shared" si="43"/>
        <v>0</v>
      </c>
      <c r="H160" s="114">
        <f t="shared" si="43"/>
        <v>0</v>
      </c>
      <c r="I160" s="114">
        <f t="shared" si="43"/>
        <v>0</v>
      </c>
      <c r="J160" s="114">
        <f t="shared" si="43"/>
        <v>0</v>
      </c>
      <c r="K160" s="114">
        <f t="shared" si="43"/>
        <v>0</v>
      </c>
      <c r="L160" s="114">
        <f t="shared" si="43"/>
        <v>4700</v>
      </c>
      <c r="M160" s="114">
        <f t="shared" si="43"/>
        <v>0</v>
      </c>
      <c r="N160" s="114">
        <f t="shared" si="43"/>
        <v>0</v>
      </c>
      <c r="O160" s="114">
        <f t="shared" si="43"/>
        <v>1950</v>
      </c>
      <c r="P160" s="114">
        <f t="shared" si="43"/>
        <v>0</v>
      </c>
      <c r="Q160" s="114">
        <f t="shared" si="43"/>
        <v>0</v>
      </c>
      <c r="R160" s="114">
        <f t="shared" si="43"/>
        <v>0</v>
      </c>
      <c r="S160" s="114">
        <f t="shared" si="43"/>
        <v>0</v>
      </c>
      <c r="T160" s="114">
        <f t="shared" si="43"/>
        <v>0</v>
      </c>
      <c r="U160" s="114">
        <f t="shared" si="43"/>
        <v>0</v>
      </c>
      <c r="V160" s="114">
        <f t="shared" si="43"/>
        <v>0</v>
      </c>
      <c r="W160" s="114">
        <f t="shared" si="43"/>
        <v>0</v>
      </c>
      <c r="X160" s="114">
        <f t="shared" si="43"/>
        <v>31574</v>
      </c>
    </row>
    <row r="161" spans="1:24" ht="21" customHeight="1">
      <c r="A161" s="488" t="s">
        <v>272</v>
      </c>
      <c r="B161" s="489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95"/>
      <c r="P161" s="195"/>
      <c r="Q161" s="115"/>
      <c r="R161" s="115"/>
      <c r="S161" s="115"/>
      <c r="T161" s="115"/>
      <c r="U161" s="115"/>
      <c r="V161" s="115"/>
      <c r="W161" s="115"/>
      <c r="X161" s="116">
        <f>SUM(C161:W161)</f>
        <v>0</v>
      </c>
    </row>
    <row r="162" spans="1:24" ht="21" customHeight="1">
      <c r="A162" s="108">
        <v>320100</v>
      </c>
      <c r="B162" s="73" t="s">
        <v>244</v>
      </c>
      <c r="C162" s="76">
        <f>1054+7000+7000+3500+6300+3500</f>
        <v>28354</v>
      </c>
      <c r="D162" s="76">
        <f>972+18900</f>
        <v>19872</v>
      </c>
      <c r="E162" s="76"/>
      <c r="F162" s="76"/>
      <c r="G162" s="76">
        <f>4500+7000+7000+7000</f>
        <v>25500</v>
      </c>
      <c r="H162" s="76"/>
      <c r="I162" s="76"/>
      <c r="J162" s="76">
        <f>7000+7000</f>
        <v>14000</v>
      </c>
      <c r="K162" s="76"/>
      <c r="L162" s="76">
        <v>6300</v>
      </c>
      <c r="M162" s="76"/>
      <c r="N162" s="76">
        <f>7000+7000+7000+7000+11920</f>
        <v>39920</v>
      </c>
      <c r="O162" s="192"/>
      <c r="P162" s="192">
        <v>4030</v>
      </c>
      <c r="Q162" s="76"/>
      <c r="R162" s="76"/>
      <c r="S162" s="76"/>
      <c r="T162" s="76"/>
      <c r="U162" s="76"/>
      <c r="V162" s="76">
        <v>8000</v>
      </c>
      <c r="W162" s="76"/>
      <c r="X162" s="110">
        <f>SUM(C162:W162)</f>
        <v>145976</v>
      </c>
    </row>
    <row r="163" spans="1:24" ht="21" customHeight="1">
      <c r="A163" s="108">
        <v>320200</v>
      </c>
      <c r="B163" s="73" t="s">
        <v>245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192"/>
      <c r="P163" s="192"/>
      <c r="Q163" s="76"/>
      <c r="R163" s="76"/>
      <c r="S163" s="76"/>
      <c r="T163" s="76"/>
      <c r="U163" s="76"/>
      <c r="V163" s="76"/>
      <c r="W163" s="76"/>
      <c r="X163" s="110">
        <f>SUM(C163:W163)</f>
        <v>0</v>
      </c>
    </row>
    <row r="164" spans="1:24" ht="21" customHeight="1">
      <c r="A164" s="108">
        <v>320300</v>
      </c>
      <c r="B164" s="73" t="s">
        <v>246</v>
      </c>
      <c r="C164" s="76">
        <f>1000+9444+824</f>
        <v>11268</v>
      </c>
      <c r="D164" s="76"/>
      <c r="E164" s="76"/>
      <c r="F164" s="76">
        <v>750</v>
      </c>
      <c r="G164" s="76"/>
      <c r="H164" s="76">
        <f>111600+98400</f>
        <v>210000</v>
      </c>
      <c r="I164" s="76"/>
      <c r="J164" s="76"/>
      <c r="K164" s="76"/>
      <c r="L164" s="76"/>
      <c r="M164" s="76"/>
      <c r="N164" s="76"/>
      <c r="O164" s="192"/>
      <c r="P164" s="192"/>
      <c r="Q164" s="76"/>
      <c r="R164" s="76">
        <f>750+5000</f>
        <v>5750</v>
      </c>
      <c r="S164" s="76"/>
      <c r="T164" s="76"/>
      <c r="U164" s="76"/>
      <c r="V164" s="76"/>
      <c r="W164" s="76"/>
      <c r="X164" s="110">
        <f>SUM(C164:W164)</f>
        <v>227768</v>
      </c>
    </row>
    <row r="165" spans="1:24" ht="21" customHeight="1">
      <c r="A165" s="111">
        <v>320400</v>
      </c>
      <c r="B165" s="74" t="s">
        <v>247</v>
      </c>
      <c r="C165" s="87">
        <f>1288.28+2449.23+600</f>
        <v>4337.51</v>
      </c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193"/>
      <c r="P165" s="193"/>
      <c r="Q165" s="87"/>
      <c r="R165" s="87"/>
      <c r="S165" s="87"/>
      <c r="T165" s="87"/>
      <c r="U165" s="87"/>
      <c r="V165" s="87"/>
      <c r="W165" s="87"/>
      <c r="X165" s="110">
        <f>SUM(C165:W165)</f>
        <v>4337.51</v>
      </c>
    </row>
    <row r="166" spans="1:26" ht="21" customHeight="1">
      <c r="A166" s="490" t="s">
        <v>230</v>
      </c>
      <c r="B166" s="491"/>
      <c r="C166" s="110">
        <f>SUM(C162:C165)</f>
        <v>43959.51</v>
      </c>
      <c r="D166" s="110">
        <f aca="true" t="shared" si="44" ref="D166:W166">SUM(D162:D165)</f>
        <v>19872</v>
      </c>
      <c r="E166" s="110">
        <f t="shared" si="44"/>
        <v>0</v>
      </c>
      <c r="F166" s="110">
        <f t="shared" si="44"/>
        <v>750</v>
      </c>
      <c r="G166" s="110">
        <f t="shared" si="44"/>
        <v>25500</v>
      </c>
      <c r="H166" s="110">
        <f t="shared" si="44"/>
        <v>210000</v>
      </c>
      <c r="I166" s="110">
        <f t="shared" si="44"/>
        <v>0</v>
      </c>
      <c r="J166" s="110">
        <f t="shared" si="44"/>
        <v>14000</v>
      </c>
      <c r="K166" s="110">
        <f t="shared" si="44"/>
        <v>0</v>
      </c>
      <c r="L166" s="110">
        <f t="shared" si="44"/>
        <v>6300</v>
      </c>
      <c r="M166" s="110">
        <f t="shared" si="44"/>
        <v>0</v>
      </c>
      <c r="N166" s="110">
        <f t="shared" si="44"/>
        <v>39920</v>
      </c>
      <c r="O166" s="110">
        <f t="shared" si="44"/>
        <v>0</v>
      </c>
      <c r="P166" s="110">
        <f t="shared" si="44"/>
        <v>4030</v>
      </c>
      <c r="Q166" s="110">
        <f t="shared" si="44"/>
        <v>0</v>
      </c>
      <c r="R166" s="110">
        <f t="shared" si="44"/>
        <v>5750</v>
      </c>
      <c r="S166" s="110">
        <f t="shared" si="44"/>
        <v>0</v>
      </c>
      <c r="T166" s="110">
        <f t="shared" si="44"/>
        <v>0</v>
      </c>
      <c r="U166" s="110">
        <f t="shared" si="44"/>
        <v>0</v>
      </c>
      <c r="V166" s="110">
        <f t="shared" si="44"/>
        <v>8000</v>
      </c>
      <c r="W166" s="110">
        <f t="shared" si="44"/>
        <v>0</v>
      </c>
      <c r="X166" s="110">
        <f>SUM(C166:W166)</f>
        <v>378081.51</v>
      </c>
      <c r="Y166" s="106">
        <f>367581.51+10500</f>
        <v>378081.51</v>
      </c>
      <c r="Z166" s="124">
        <f>+Y166-X166</f>
        <v>0</v>
      </c>
    </row>
    <row r="167" spans="1:26" ht="21" customHeight="1">
      <c r="A167" s="492" t="s">
        <v>231</v>
      </c>
      <c r="B167" s="493"/>
      <c r="C167" s="114">
        <f>+C166+C52</f>
        <v>54547.11</v>
      </c>
      <c r="D167" s="114">
        <f aca="true" t="shared" si="45" ref="D167:X167">+D166+D52</f>
        <v>24508.8</v>
      </c>
      <c r="E167" s="114">
        <f t="shared" si="45"/>
        <v>0</v>
      </c>
      <c r="F167" s="114">
        <f t="shared" si="45"/>
        <v>750</v>
      </c>
      <c r="G167" s="114">
        <f t="shared" si="45"/>
        <v>25500</v>
      </c>
      <c r="H167" s="114">
        <f t="shared" si="45"/>
        <v>210000</v>
      </c>
      <c r="I167" s="114">
        <f t="shared" si="45"/>
        <v>0</v>
      </c>
      <c r="J167" s="114">
        <f t="shared" si="45"/>
        <v>14000</v>
      </c>
      <c r="K167" s="114">
        <f t="shared" si="45"/>
        <v>0</v>
      </c>
      <c r="L167" s="114">
        <f t="shared" si="45"/>
        <v>6300</v>
      </c>
      <c r="M167" s="114">
        <f t="shared" si="45"/>
        <v>0</v>
      </c>
      <c r="N167" s="114">
        <f t="shared" si="45"/>
        <v>53378.75</v>
      </c>
      <c r="O167" s="114">
        <f t="shared" si="45"/>
        <v>0</v>
      </c>
      <c r="P167" s="114">
        <f t="shared" si="45"/>
        <v>4030</v>
      </c>
      <c r="Q167" s="114">
        <f t="shared" si="45"/>
        <v>0</v>
      </c>
      <c r="R167" s="114">
        <f t="shared" si="45"/>
        <v>5750</v>
      </c>
      <c r="S167" s="114">
        <f t="shared" si="45"/>
        <v>0</v>
      </c>
      <c r="T167" s="114">
        <f t="shared" si="45"/>
        <v>0</v>
      </c>
      <c r="U167" s="114">
        <f t="shared" si="45"/>
        <v>0</v>
      </c>
      <c r="V167" s="114">
        <f t="shared" si="45"/>
        <v>8000</v>
      </c>
      <c r="W167" s="114">
        <f t="shared" si="45"/>
        <v>0</v>
      </c>
      <c r="X167" s="114">
        <f t="shared" si="45"/>
        <v>406764.66000000003</v>
      </c>
      <c r="Y167" s="106">
        <f>+X52+X166</f>
        <v>406764.66000000003</v>
      </c>
      <c r="Z167" s="124">
        <f>+Y167-X167</f>
        <v>0</v>
      </c>
    </row>
    <row r="168" spans="1:25" ht="21" customHeight="1">
      <c r="A168" s="488" t="s">
        <v>273</v>
      </c>
      <c r="B168" s="489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95"/>
      <c r="P168" s="195"/>
      <c r="Q168" s="115"/>
      <c r="R168" s="115"/>
      <c r="S168" s="115"/>
      <c r="T168" s="115"/>
      <c r="U168" s="115"/>
      <c r="V168" s="115"/>
      <c r="W168" s="115"/>
      <c r="X168" s="116">
        <f>SUM(C168:W168)</f>
        <v>0</v>
      </c>
      <c r="Y168" s="106">
        <v>411764.66</v>
      </c>
    </row>
    <row r="169" spans="1:25" ht="21" customHeight="1">
      <c r="A169" s="108">
        <v>330100</v>
      </c>
      <c r="B169" s="73" t="s">
        <v>248</v>
      </c>
      <c r="C169" s="76">
        <v>7095</v>
      </c>
      <c r="D169" s="76">
        <v>7550</v>
      </c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192"/>
      <c r="P169" s="192"/>
      <c r="Q169" s="76"/>
      <c r="R169" s="76"/>
      <c r="S169" s="76"/>
      <c r="T169" s="76"/>
      <c r="U169" s="76"/>
      <c r="V169" s="76"/>
      <c r="W169" s="76"/>
      <c r="X169" s="110">
        <f>SUM(C169:W169)</f>
        <v>14645</v>
      </c>
      <c r="Y169" s="106">
        <f>+Y168-Y167</f>
        <v>4999.999999999942</v>
      </c>
    </row>
    <row r="170" spans="1:24" ht="21" customHeight="1">
      <c r="A170" s="108">
        <v>330200</v>
      </c>
      <c r="B170" s="73" t="s">
        <v>249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192"/>
      <c r="P170" s="192"/>
      <c r="Q170" s="76"/>
      <c r="R170" s="76"/>
      <c r="S170" s="76"/>
      <c r="T170" s="76"/>
      <c r="U170" s="76"/>
      <c r="V170" s="76"/>
      <c r="W170" s="76"/>
      <c r="X170" s="110">
        <f aca="true" t="shared" si="46" ref="X170:X176">SUM(C170:W170)</f>
        <v>0</v>
      </c>
    </row>
    <row r="171" spans="1:24" ht="21" customHeight="1">
      <c r="A171" s="108">
        <v>330300</v>
      </c>
      <c r="B171" s="73" t="s">
        <v>326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192"/>
      <c r="P171" s="192"/>
      <c r="Q171" s="76"/>
      <c r="R171" s="76"/>
      <c r="S171" s="76"/>
      <c r="T171" s="76"/>
      <c r="U171" s="76"/>
      <c r="V171" s="76"/>
      <c r="W171" s="76"/>
      <c r="X171" s="110">
        <f t="shared" si="46"/>
        <v>0</v>
      </c>
    </row>
    <row r="172" spans="1:24" ht="21" customHeight="1">
      <c r="A172" s="108">
        <v>330400</v>
      </c>
      <c r="B172" s="73" t="s">
        <v>274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192"/>
      <c r="P172" s="192"/>
      <c r="Q172" s="76"/>
      <c r="R172" s="76"/>
      <c r="S172" s="76"/>
      <c r="T172" s="76"/>
      <c r="U172" s="76"/>
      <c r="V172" s="76"/>
      <c r="W172" s="76"/>
      <c r="X172" s="110">
        <f t="shared" si="46"/>
        <v>0</v>
      </c>
    </row>
    <row r="173" spans="1:24" ht="21" customHeight="1">
      <c r="A173" s="108">
        <v>330600</v>
      </c>
      <c r="B173" s="73" t="s">
        <v>250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192"/>
      <c r="P173" s="192"/>
      <c r="Q173" s="76"/>
      <c r="R173" s="76"/>
      <c r="S173" s="76"/>
      <c r="T173" s="76"/>
      <c r="U173" s="76"/>
      <c r="V173" s="76"/>
      <c r="W173" s="76"/>
      <c r="X173" s="110">
        <f t="shared" si="46"/>
        <v>0</v>
      </c>
    </row>
    <row r="174" spans="1:24" ht="21" customHeight="1">
      <c r="A174" s="108">
        <v>330700</v>
      </c>
      <c r="B174" s="73" t="s">
        <v>494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>
        <v>36960</v>
      </c>
      <c r="O174" s="192"/>
      <c r="P174" s="192"/>
      <c r="Q174" s="76"/>
      <c r="R174" s="76"/>
      <c r="S174" s="76"/>
      <c r="T174" s="76"/>
      <c r="U174" s="76"/>
      <c r="V174" s="76"/>
      <c r="W174" s="76"/>
      <c r="X174" s="110">
        <f t="shared" si="46"/>
        <v>36960</v>
      </c>
    </row>
    <row r="175" spans="1:24" ht="21" customHeight="1">
      <c r="A175" s="108">
        <v>330800</v>
      </c>
      <c r="B175" s="73" t="s">
        <v>251</v>
      </c>
      <c r="C175" s="76">
        <v>32700</v>
      </c>
      <c r="D175" s="76"/>
      <c r="E175" s="76"/>
      <c r="F175" s="76"/>
      <c r="G175" s="76"/>
      <c r="H175" s="76"/>
      <c r="I175" s="76"/>
      <c r="J175" s="76">
        <v>6500</v>
      </c>
      <c r="K175" s="76"/>
      <c r="L175" s="76"/>
      <c r="M175" s="76"/>
      <c r="N175" s="76">
        <v>31000</v>
      </c>
      <c r="O175" s="192"/>
      <c r="P175" s="192"/>
      <c r="Q175" s="76"/>
      <c r="R175" s="76"/>
      <c r="S175" s="76"/>
      <c r="T175" s="76"/>
      <c r="U175" s="76"/>
      <c r="V175" s="76"/>
      <c r="W175" s="76"/>
      <c r="X175" s="110">
        <f t="shared" si="46"/>
        <v>70200</v>
      </c>
    </row>
    <row r="176" spans="1:24" ht="21" customHeight="1">
      <c r="A176" s="108">
        <v>330900</v>
      </c>
      <c r="B176" s="73" t="s">
        <v>253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192"/>
      <c r="P176" s="192"/>
      <c r="Q176" s="76"/>
      <c r="R176" s="76"/>
      <c r="S176" s="76"/>
      <c r="T176" s="76"/>
      <c r="U176" s="76"/>
      <c r="V176" s="76"/>
      <c r="W176" s="76"/>
      <c r="X176" s="110">
        <f t="shared" si="46"/>
        <v>0</v>
      </c>
    </row>
    <row r="177" spans="1:24" ht="21" customHeight="1">
      <c r="A177" s="497" t="s">
        <v>194</v>
      </c>
      <c r="B177" s="497"/>
      <c r="C177" s="496" t="s">
        <v>196</v>
      </c>
      <c r="D177" s="496"/>
      <c r="E177" s="499" t="s">
        <v>199</v>
      </c>
      <c r="F177" s="500"/>
      <c r="G177" s="496" t="s">
        <v>201</v>
      </c>
      <c r="H177" s="497"/>
      <c r="I177" s="499" t="s">
        <v>215</v>
      </c>
      <c r="J177" s="500"/>
      <c r="K177" s="323" t="s">
        <v>216</v>
      </c>
      <c r="L177" s="499" t="s">
        <v>217</v>
      </c>
      <c r="M177" s="501"/>
      <c r="N177" s="500"/>
      <c r="O177" s="499" t="s">
        <v>218</v>
      </c>
      <c r="P177" s="500"/>
      <c r="Q177" s="499" t="s">
        <v>219</v>
      </c>
      <c r="R177" s="501"/>
      <c r="S177" s="500"/>
      <c r="T177" s="496" t="s">
        <v>220</v>
      </c>
      <c r="U177" s="497"/>
      <c r="V177" s="323" t="s">
        <v>284</v>
      </c>
      <c r="W177" s="323" t="s">
        <v>221</v>
      </c>
      <c r="X177" s="498" t="s">
        <v>17</v>
      </c>
    </row>
    <row r="178" spans="1:24" ht="21" customHeight="1">
      <c r="A178" s="497" t="s">
        <v>195</v>
      </c>
      <c r="B178" s="497"/>
      <c r="C178" s="323" t="s">
        <v>197</v>
      </c>
      <c r="D178" s="323" t="s">
        <v>198</v>
      </c>
      <c r="E178" s="323" t="s">
        <v>200</v>
      </c>
      <c r="F178" s="323" t="s">
        <v>288</v>
      </c>
      <c r="G178" s="323" t="s">
        <v>202</v>
      </c>
      <c r="H178" s="323" t="s">
        <v>203</v>
      </c>
      <c r="I178" s="323" t="s">
        <v>204</v>
      </c>
      <c r="J178" s="323" t="s">
        <v>205</v>
      </c>
      <c r="K178" s="323" t="s">
        <v>206</v>
      </c>
      <c r="L178" s="323" t="s">
        <v>207</v>
      </c>
      <c r="M178" s="323" t="s">
        <v>208</v>
      </c>
      <c r="N178" s="323" t="s">
        <v>334</v>
      </c>
      <c r="O178" s="322" t="s">
        <v>471</v>
      </c>
      <c r="P178" s="322" t="s">
        <v>209</v>
      </c>
      <c r="Q178" s="323" t="s">
        <v>210</v>
      </c>
      <c r="R178" s="323" t="s">
        <v>211</v>
      </c>
      <c r="S178" s="323" t="s">
        <v>290</v>
      </c>
      <c r="T178" s="323" t="s">
        <v>212</v>
      </c>
      <c r="U178" s="323" t="s">
        <v>213</v>
      </c>
      <c r="V178" s="323" t="s">
        <v>285</v>
      </c>
      <c r="W178" s="323" t="s">
        <v>214</v>
      </c>
      <c r="X178" s="498"/>
    </row>
    <row r="179" spans="1:24" ht="21" customHeight="1">
      <c r="A179" s="300">
        <v>331000</v>
      </c>
      <c r="B179" s="303" t="s">
        <v>462</v>
      </c>
      <c r="C179" s="304"/>
      <c r="D179" s="301"/>
      <c r="E179" s="301"/>
      <c r="F179" s="301"/>
      <c r="G179" s="301"/>
      <c r="H179" s="301"/>
      <c r="I179" s="301"/>
      <c r="J179" s="301"/>
      <c r="K179" s="301"/>
      <c r="L179" s="301"/>
      <c r="M179" s="301"/>
      <c r="N179" s="301"/>
      <c r="O179" s="302"/>
      <c r="P179" s="302"/>
      <c r="Q179" s="301"/>
      <c r="R179" s="301"/>
      <c r="S179" s="301"/>
      <c r="T179" s="301"/>
      <c r="U179" s="301"/>
      <c r="V179" s="301"/>
      <c r="W179" s="301"/>
      <c r="X179" s="110">
        <f>SUM(C179:W179)</f>
        <v>0</v>
      </c>
    </row>
    <row r="180" spans="1:24" ht="21" customHeight="1">
      <c r="A180" s="108">
        <v>331200</v>
      </c>
      <c r="B180" s="73" t="s">
        <v>254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192"/>
      <c r="P180" s="192"/>
      <c r="Q180" s="76"/>
      <c r="R180" s="76"/>
      <c r="S180" s="76"/>
      <c r="T180" s="76"/>
      <c r="U180" s="76"/>
      <c r="V180" s="76"/>
      <c r="W180" s="76"/>
      <c r="X180" s="110">
        <f>SUM(C180:W180)</f>
        <v>0</v>
      </c>
    </row>
    <row r="181" spans="1:24" ht="21" customHeight="1">
      <c r="A181" s="108">
        <v>331300</v>
      </c>
      <c r="B181" s="73" t="s">
        <v>255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192"/>
      <c r="P181" s="192"/>
      <c r="Q181" s="76">
        <f>6550+2150</f>
        <v>8700</v>
      </c>
      <c r="R181" s="76"/>
      <c r="S181" s="76"/>
      <c r="T181" s="76"/>
      <c r="U181" s="76"/>
      <c r="V181" s="76"/>
      <c r="W181" s="76"/>
      <c r="X181" s="110">
        <f>SUM(C181:W181)</f>
        <v>8700</v>
      </c>
    </row>
    <row r="182" spans="1:24" ht="21" customHeight="1">
      <c r="A182" s="108">
        <v>331400</v>
      </c>
      <c r="B182" s="73" t="s">
        <v>252</v>
      </c>
      <c r="C182" s="76"/>
      <c r="D182" s="76">
        <f>8850+8570</f>
        <v>17420</v>
      </c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192"/>
      <c r="P182" s="192"/>
      <c r="Q182" s="76"/>
      <c r="R182" s="76"/>
      <c r="S182" s="76"/>
      <c r="T182" s="76"/>
      <c r="U182" s="76"/>
      <c r="V182" s="76"/>
      <c r="W182" s="76"/>
      <c r="X182" s="110">
        <f>SUM(C182:W182)</f>
        <v>17420</v>
      </c>
    </row>
    <row r="183" spans="1:24" ht="21" customHeight="1">
      <c r="A183" s="108">
        <v>331500</v>
      </c>
      <c r="B183" s="73" t="s">
        <v>256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192"/>
      <c r="P183" s="192"/>
      <c r="Q183" s="76"/>
      <c r="R183" s="76"/>
      <c r="S183" s="76"/>
      <c r="T183" s="76"/>
      <c r="U183" s="76"/>
      <c r="V183" s="76"/>
      <c r="W183" s="76"/>
      <c r="X183" s="110">
        <f>SUM(C183:W183)</f>
        <v>0</v>
      </c>
    </row>
    <row r="184" spans="1:24" ht="21" customHeight="1">
      <c r="A184" s="111">
        <v>331700</v>
      </c>
      <c r="B184" s="74" t="s">
        <v>257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193"/>
      <c r="P184" s="193"/>
      <c r="Q184" s="87"/>
      <c r="R184" s="87"/>
      <c r="S184" s="87"/>
      <c r="T184" s="87"/>
      <c r="U184" s="87"/>
      <c r="V184" s="87"/>
      <c r="W184" s="87"/>
      <c r="X184" s="110">
        <f>SUM(C184:W184)</f>
        <v>0</v>
      </c>
    </row>
    <row r="185" spans="1:24" ht="21" customHeight="1">
      <c r="A185" s="490" t="s">
        <v>230</v>
      </c>
      <c r="B185" s="491"/>
      <c r="C185" s="110">
        <f aca="true" t="shared" si="47" ref="C185:W185">SUM(C169:C184)</f>
        <v>39795</v>
      </c>
      <c r="D185" s="110">
        <f t="shared" si="47"/>
        <v>24970</v>
      </c>
      <c r="E185" s="110">
        <f t="shared" si="47"/>
        <v>0</v>
      </c>
      <c r="F185" s="110">
        <f t="shared" si="47"/>
        <v>0</v>
      </c>
      <c r="G185" s="110">
        <f t="shared" si="47"/>
        <v>0</v>
      </c>
      <c r="H185" s="110">
        <f t="shared" si="47"/>
        <v>0</v>
      </c>
      <c r="I185" s="110">
        <f t="shared" si="47"/>
        <v>0</v>
      </c>
      <c r="J185" s="110">
        <f t="shared" si="47"/>
        <v>6500</v>
      </c>
      <c r="K185" s="110">
        <f t="shared" si="47"/>
        <v>0</v>
      </c>
      <c r="L185" s="110">
        <f t="shared" si="47"/>
        <v>0</v>
      </c>
      <c r="M185" s="110">
        <f t="shared" si="47"/>
        <v>0</v>
      </c>
      <c r="N185" s="110">
        <f t="shared" si="47"/>
        <v>67960</v>
      </c>
      <c r="O185" s="110">
        <f t="shared" si="47"/>
        <v>0</v>
      </c>
      <c r="P185" s="110">
        <f t="shared" si="47"/>
        <v>0</v>
      </c>
      <c r="Q185" s="110">
        <f t="shared" si="47"/>
        <v>8700</v>
      </c>
      <c r="R185" s="110">
        <f t="shared" si="47"/>
        <v>0</v>
      </c>
      <c r="S185" s="110">
        <f t="shared" si="47"/>
        <v>0</v>
      </c>
      <c r="T185" s="110">
        <f t="shared" si="47"/>
        <v>0</v>
      </c>
      <c r="U185" s="110">
        <f t="shared" si="47"/>
        <v>0</v>
      </c>
      <c r="V185" s="110">
        <f t="shared" si="47"/>
        <v>0</v>
      </c>
      <c r="W185" s="110">
        <f t="shared" si="47"/>
        <v>0</v>
      </c>
      <c r="X185" s="110">
        <f>SUM(X169:X184)</f>
        <v>147925</v>
      </c>
    </row>
    <row r="186" spans="1:24" ht="21" customHeight="1">
      <c r="A186" s="492" t="s">
        <v>231</v>
      </c>
      <c r="B186" s="493"/>
      <c r="C186" s="114">
        <f>+C185+C70</f>
        <v>52745</v>
      </c>
      <c r="D186" s="114">
        <f aca="true" t="shared" si="48" ref="D186:X186">+D185+D70</f>
        <v>24970</v>
      </c>
      <c r="E186" s="114">
        <f t="shared" si="48"/>
        <v>0</v>
      </c>
      <c r="F186" s="114">
        <f t="shared" si="48"/>
        <v>0</v>
      </c>
      <c r="G186" s="114">
        <f t="shared" si="48"/>
        <v>0</v>
      </c>
      <c r="H186" s="114">
        <f t="shared" si="48"/>
        <v>0</v>
      </c>
      <c r="I186" s="114">
        <f t="shared" si="48"/>
        <v>0</v>
      </c>
      <c r="J186" s="114">
        <f t="shared" si="48"/>
        <v>6500</v>
      </c>
      <c r="K186" s="114">
        <f t="shared" si="48"/>
        <v>0</v>
      </c>
      <c r="L186" s="114">
        <f t="shared" si="48"/>
        <v>0</v>
      </c>
      <c r="M186" s="114">
        <f t="shared" si="48"/>
        <v>0</v>
      </c>
      <c r="N186" s="114">
        <f t="shared" si="48"/>
        <v>67960</v>
      </c>
      <c r="O186" s="114">
        <f t="shared" si="48"/>
        <v>0</v>
      </c>
      <c r="P186" s="114">
        <f t="shared" si="48"/>
        <v>0</v>
      </c>
      <c r="Q186" s="114">
        <f t="shared" si="48"/>
        <v>8700</v>
      </c>
      <c r="R186" s="114">
        <f t="shared" si="48"/>
        <v>0</v>
      </c>
      <c r="S186" s="114">
        <f t="shared" si="48"/>
        <v>0</v>
      </c>
      <c r="T186" s="114">
        <f t="shared" si="48"/>
        <v>0</v>
      </c>
      <c r="U186" s="114">
        <f t="shared" si="48"/>
        <v>0</v>
      </c>
      <c r="V186" s="114">
        <f t="shared" si="48"/>
        <v>0</v>
      </c>
      <c r="W186" s="114">
        <f t="shared" si="48"/>
        <v>0</v>
      </c>
      <c r="X186" s="114">
        <f t="shared" si="48"/>
        <v>160875</v>
      </c>
    </row>
    <row r="187" spans="1:24" ht="21" customHeight="1">
      <c r="A187" s="488" t="s">
        <v>275</v>
      </c>
      <c r="B187" s="489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95"/>
      <c r="P187" s="195"/>
      <c r="Q187" s="115"/>
      <c r="R187" s="115"/>
      <c r="S187" s="115"/>
      <c r="T187" s="115"/>
      <c r="U187" s="115"/>
      <c r="V187" s="115"/>
      <c r="W187" s="115"/>
      <c r="X187" s="116">
        <f>SUM(C187:W187)</f>
        <v>0</v>
      </c>
    </row>
    <row r="188" spans="1:24" ht="21" customHeight="1">
      <c r="A188" s="108">
        <v>340100</v>
      </c>
      <c r="B188" s="73" t="s">
        <v>258</v>
      </c>
      <c r="C188" s="76">
        <v>20805.93</v>
      </c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192"/>
      <c r="P188" s="192"/>
      <c r="Q188" s="76"/>
      <c r="R188" s="76"/>
      <c r="S188" s="76"/>
      <c r="T188" s="76"/>
      <c r="U188" s="76"/>
      <c r="V188" s="76">
        <v>57339.89</v>
      </c>
      <c r="W188" s="76"/>
      <c r="X188" s="110">
        <f>SUM(C188:W188)</f>
        <v>78145.82</v>
      </c>
    </row>
    <row r="189" spans="1:24" ht="21" customHeight="1">
      <c r="A189" s="108">
        <v>340300</v>
      </c>
      <c r="B189" s="73" t="s">
        <v>259</v>
      </c>
      <c r="C189" s="76">
        <v>568.17</v>
      </c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192"/>
      <c r="P189" s="192"/>
      <c r="Q189" s="76"/>
      <c r="R189" s="76"/>
      <c r="S189" s="76"/>
      <c r="T189" s="76"/>
      <c r="U189" s="76"/>
      <c r="V189" s="76"/>
      <c r="W189" s="76"/>
      <c r="X189" s="110">
        <f>SUM(C189:W189)</f>
        <v>568.17</v>
      </c>
    </row>
    <row r="190" spans="1:24" ht="21" customHeight="1">
      <c r="A190" s="108">
        <v>340400</v>
      </c>
      <c r="B190" s="73" t="s">
        <v>260</v>
      </c>
      <c r="C190" s="76">
        <v>7780</v>
      </c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192"/>
      <c r="P190" s="192"/>
      <c r="Q190" s="76"/>
      <c r="R190" s="76"/>
      <c r="S190" s="76"/>
      <c r="T190" s="76"/>
      <c r="U190" s="76"/>
      <c r="V190" s="76"/>
      <c r="W190" s="76"/>
      <c r="X190" s="110">
        <f>SUM(C190:W190)</f>
        <v>7780</v>
      </c>
    </row>
    <row r="191" spans="1:24" ht="21" customHeight="1">
      <c r="A191" s="111">
        <v>340500</v>
      </c>
      <c r="B191" s="74" t="s">
        <v>261</v>
      </c>
      <c r="C191" s="76">
        <v>8560</v>
      </c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193"/>
      <c r="P191" s="193"/>
      <c r="Q191" s="87"/>
      <c r="R191" s="87"/>
      <c r="S191" s="87"/>
      <c r="T191" s="87"/>
      <c r="U191" s="87"/>
      <c r="V191" s="87"/>
      <c r="W191" s="87"/>
      <c r="X191" s="113">
        <f>SUM(C191:W191)</f>
        <v>8560</v>
      </c>
    </row>
    <row r="192" spans="1:26" ht="21" customHeight="1">
      <c r="A192" s="490" t="s">
        <v>230</v>
      </c>
      <c r="B192" s="491"/>
      <c r="C192" s="110">
        <f>SUM(C188:C191)</f>
        <v>37714.1</v>
      </c>
      <c r="D192" s="110">
        <f aca="true" t="shared" si="49" ref="D192:X192">SUM(D188:D191)</f>
        <v>0</v>
      </c>
      <c r="E192" s="110">
        <f t="shared" si="49"/>
        <v>0</v>
      </c>
      <c r="F192" s="110">
        <f t="shared" si="49"/>
        <v>0</v>
      </c>
      <c r="G192" s="110">
        <f t="shared" si="49"/>
        <v>0</v>
      </c>
      <c r="H192" s="110">
        <f t="shared" si="49"/>
        <v>0</v>
      </c>
      <c r="I192" s="110">
        <f t="shared" si="49"/>
        <v>0</v>
      </c>
      <c r="J192" s="110">
        <f t="shared" si="49"/>
        <v>0</v>
      </c>
      <c r="K192" s="110">
        <f t="shared" si="49"/>
        <v>0</v>
      </c>
      <c r="L192" s="110">
        <f t="shared" si="49"/>
        <v>0</v>
      </c>
      <c r="M192" s="110">
        <f t="shared" si="49"/>
        <v>0</v>
      </c>
      <c r="N192" s="110">
        <f t="shared" si="49"/>
        <v>0</v>
      </c>
      <c r="O192" s="110">
        <f t="shared" si="49"/>
        <v>0</v>
      </c>
      <c r="P192" s="110">
        <f t="shared" si="49"/>
        <v>0</v>
      </c>
      <c r="Q192" s="110">
        <f t="shared" si="49"/>
        <v>0</v>
      </c>
      <c r="R192" s="110">
        <f t="shared" si="49"/>
        <v>0</v>
      </c>
      <c r="S192" s="110">
        <f t="shared" si="49"/>
        <v>0</v>
      </c>
      <c r="T192" s="110">
        <f t="shared" si="49"/>
        <v>0</v>
      </c>
      <c r="U192" s="110">
        <f t="shared" si="49"/>
        <v>0</v>
      </c>
      <c r="V192" s="110">
        <f t="shared" si="49"/>
        <v>57339.89</v>
      </c>
      <c r="W192" s="110">
        <f t="shared" si="49"/>
        <v>0</v>
      </c>
      <c r="X192" s="110">
        <f t="shared" si="49"/>
        <v>95053.99</v>
      </c>
      <c r="Y192" s="106">
        <f>+งบดุลบัญชี!M134</f>
        <v>95053.99</v>
      </c>
      <c r="Z192" s="124">
        <v>1760</v>
      </c>
    </row>
    <row r="193" spans="1:26" ht="21" customHeight="1">
      <c r="A193" s="492" t="s">
        <v>231</v>
      </c>
      <c r="B193" s="493"/>
      <c r="C193" s="114">
        <f>+C192+C77</f>
        <v>39474.1</v>
      </c>
      <c r="D193" s="114">
        <f aca="true" t="shared" si="50" ref="D193:X193">+D192+D77</f>
        <v>0</v>
      </c>
      <c r="E193" s="114">
        <f t="shared" si="50"/>
        <v>0</v>
      </c>
      <c r="F193" s="114">
        <f t="shared" si="50"/>
        <v>0</v>
      </c>
      <c r="G193" s="114">
        <f t="shared" si="50"/>
        <v>0</v>
      </c>
      <c r="H193" s="114">
        <f t="shared" si="50"/>
        <v>0</v>
      </c>
      <c r="I193" s="114">
        <f t="shared" si="50"/>
        <v>0</v>
      </c>
      <c r="J193" s="114">
        <f t="shared" si="50"/>
        <v>0</v>
      </c>
      <c r="K193" s="114">
        <f t="shared" si="50"/>
        <v>0</v>
      </c>
      <c r="L193" s="114">
        <f t="shared" si="50"/>
        <v>0</v>
      </c>
      <c r="M193" s="114">
        <f t="shared" si="50"/>
        <v>0</v>
      </c>
      <c r="N193" s="114">
        <f t="shared" si="50"/>
        <v>0</v>
      </c>
      <c r="O193" s="114">
        <f t="shared" si="50"/>
        <v>0</v>
      </c>
      <c r="P193" s="114">
        <f t="shared" si="50"/>
        <v>0</v>
      </c>
      <c r="Q193" s="114">
        <f t="shared" si="50"/>
        <v>0</v>
      </c>
      <c r="R193" s="114">
        <f t="shared" si="50"/>
        <v>0</v>
      </c>
      <c r="S193" s="114">
        <f t="shared" si="50"/>
        <v>0</v>
      </c>
      <c r="T193" s="114">
        <f t="shared" si="50"/>
        <v>0</v>
      </c>
      <c r="U193" s="114">
        <f t="shared" si="50"/>
        <v>0</v>
      </c>
      <c r="V193" s="114">
        <f t="shared" si="50"/>
        <v>57339.89</v>
      </c>
      <c r="W193" s="114">
        <f t="shared" si="50"/>
        <v>0</v>
      </c>
      <c r="X193" s="114">
        <f t="shared" si="50"/>
        <v>96813.99</v>
      </c>
      <c r="Y193" s="106">
        <f>+งบดุลบัญชี!Q134</f>
        <v>96813.99</v>
      </c>
      <c r="Z193" s="124">
        <f>+Y193-X193</f>
        <v>0</v>
      </c>
    </row>
    <row r="194" spans="1:24" ht="21" customHeight="1">
      <c r="A194" s="488" t="s">
        <v>276</v>
      </c>
      <c r="B194" s="489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95"/>
      <c r="P194" s="195"/>
      <c r="Q194" s="115"/>
      <c r="R194" s="115"/>
      <c r="S194" s="115"/>
      <c r="T194" s="115"/>
      <c r="U194" s="115"/>
      <c r="V194" s="115"/>
      <c r="W194" s="115"/>
      <c r="X194" s="116">
        <f aca="true" t="shared" si="51" ref="X194:X206">SUM(C194:W194)</f>
        <v>0</v>
      </c>
    </row>
    <row r="195" spans="1:24" ht="21" customHeight="1">
      <c r="A195" s="108">
        <v>410400</v>
      </c>
      <c r="B195" s="73" t="s">
        <v>262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192"/>
      <c r="P195" s="192"/>
      <c r="Q195" s="76"/>
      <c r="R195" s="76"/>
      <c r="S195" s="76"/>
      <c r="T195" s="76"/>
      <c r="U195" s="76"/>
      <c r="V195" s="76"/>
      <c r="W195" s="76"/>
      <c r="X195" s="110">
        <f t="shared" si="51"/>
        <v>0</v>
      </c>
    </row>
    <row r="196" spans="1:24" ht="21" customHeight="1">
      <c r="A196" s="108">
        <v>410200</v>
      </c>
      <c r="B196" s="73" t="s">
        <v>310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192"/>
      <c r="P196" s="192"/>
      <c r="Q196" s="76"/>
      <c r="R196" s="76"/>
      <c r="S196" s="76"/>
      <c r="T196" s="76"/>
      <c r="U196" s="76"/>
      <c r="V196" s="76"/>
      <c r="W196" s="76"/>
      <c r="X196" s="110">
        <f t="shared" si="51"/>
        <v>0</v>
      </c>
    </row>
    <row r="197" spans="1:24" ht="21" customHeight="1">
      <c r="A197" s="108">
        <v>410300</v>
      </c>
      <c r="B197" s="73" t="s">
        <v>263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192"/>
      <c r="P197" s="192"/>
      <c r="Q197" s="76"/>
      <c r="R197" s="76"/>
      <c r="S197" s="76"/>
      <c r="T197" s="76"/>
      <c r="U197" s="76"/>
      <c r="V197" s="76"/>
      <c r="W197" s="76"/>
      <c r="X197" s="110">
        <f t="shared" si="51"/>
        <v>0</v>
      </c>
    </row>
    <row r="198" spans="1:24" ht="21" customHeight="1">
      <c r="A198" s="108">
        <v>410400</v>
      </c>
      <c r="B198" s="73" t="s">
        <v>311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193"/>
      <c r="P198" s="193"/>
      <c r="Q198" s="87"/>
      <c r="R198" s="87"/>
      <c r="S198" s="87"/>
      <c r="T198" s="87"/>
      <c r="U198" s="87"/>
      <c r="V198" s="87"/>
      <c r="W198" s="87"/>
      <c r="X198" s="110">
        <f t="shared" si="51"/>
        <v>0</v>
      </c>
    </row>
    <row r="199" spans="1:24" ht="21" customHeight="1">
      <c r="A199" s="108">
        <v>410500</v>
      </c>
      <c r="B199" s="73" t="s">
        <v>312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193"/>
      <c r="P199" s="193"/>
      <c r="Q199" s="87"/>
      <c r="R199" s="87"/>
      <c r="S199" s="87"/>
      <c r="T199" s="87"/>
      <c r="U199" s="87"/>
      <c r="V199" s="87"/>
      <c r="W199" s="87"/>
      <c r="X199" s="110">
        <f t="shared" si="51"/>
        <v>0</v>
      </c>
    </row>
    <row r="200" spans="1:24" ht="21" customHeight="1">
      <c r="A200" s="108">
        <v>410600</v>
      </c>
      <c r="B200" s="73" t="s">
        <v>313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193"/>
      <c r="P200" s="193"/>
      <c r="Q200" s="87"/>
      <c r="R200" s="87"/>
      <c r="S200" s="87"/>
      <c r="T200" s="87"/>
      <c r="U200" s="87"/>
      <c r="V200" s="87"/>
      <c r="W200" s="87"/>
      <c r="X200" s="110">
        <f t="shared" si="51"/>
        <v>0</v>
      </c>
    </row>
    <row r="201" spans="1:24" ht="21" customHeight="1">
      <c r="A201" s="108">
        <v>410700</v>
      </c>
      <c r="B201" s="73" t="s">
        <v>264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192"/>
      <c r="P201" s="192"/>
      <c r="Q201" s="76"/>
      <c r="R201" s="76"/>
      <c r="S201" s="76"/>
      <c r="T201" s="76"/>
      <c r="U201" s="76"/>
      <c r="V201" s="76"/>
      <c r="W201" s="76"/>
      <c r="X201" s="110">
        <f t="shared" si="51"/>
        <v>0</v>
      </c>
    </row>
    <row r="202" spans="1:24" ht="21" customHeight="1">
      <c r="A202" s="108">
        <v>410800</v>
      </c>
      <c r="B202" s="73" t="s">
        <v>314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193"/>
      <c r="P202" s="193"/>
      <c r="Q202" s="87"/>
      <c r="R202" s="87"/>
      <c r="S202" s="87"/>
      <c r="T202" s="87"/>
      <c r="U202" s="87"/>
      <c r="V202" s="87"/>
      <c r="W202" s="87"/>
      <c r="X202" s="110">
        <f t="shared" si="51"/>
        <v>0</v>
      </c>
    </row>
    <row r="203" spans="1:24" ht="21" customHeight="1">
      <c r="A203" s="108">
        <v>410900</v>
      </c>
      <c r="B203" s="73" t="s">
        <v>347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193"/>
      <c r="P203" s="193"/>
      <c r="Q203" s="87"/>
      <c r="R203" s="87"/>
      <c r="S203" s="87"/>
      <c r="T203" s="87"/>
      <c r="U203" s="87"/>
      <c r="V203" s="87"/>
      <c r="W203" s="87"/>
      <c r="X203" s="110">
        <f t="shared" si="51"/>
        <v>0</v>
      </c>
    </row>
    <row r="204" spans="1:24" ht="21" customHeight="1" hidden="1">
      <c r="A204" s="108">
        <v>411000</v>
      </c>
      <c r="B204" s="73" t="s">
        <v>449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193"/>
      <c r="P204" s="193"/>
      <c r="Q204" s="87"/>
      <c r="R204" s="87"/>
      <c r="S204" s="87"/>
      <c r="T204" s="87"/>
      <c r="U204" s="87"/>
      <c r="V204" s="87"/>
      <c r="W204" s="87"/>
      <c r="X204" s="110">
        <f t="shared" si="51"/>
        <v>0</v>
      </c>
    </row>
    <row r="205" spans="1:24" ht="21" customHeight="1" hidden="1">
      <c r="A205" s="108">
        <v>411100</v>
      </c>
      <c r="B205" s="73" t="s">
        <v>371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193"/>
      <c r="P205" s="193"/>
      <c r="Q205" s="87"/>
      <c r="R205" s="87"/>
      <c r="S205" s="87"/>
      <c r="T205" s="87"/>
      <c r="U205" s="87"/>
      <c r="V205" s="87"/>
      <c r="W205" s="87"/>
      <c r="X205" s="110">
        <f t="shared" si="51"/>
        <v>0</v>
      </c>
    </row>
    <row r="206" spans="1:24" ht="21" customHeight="1" hidden="1">
      <c r="A206" s="108">
        <v>411300</v>
      </c>
      <c r="B206" s="73" t="s">
        <v>450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193"/>
      <c r="P206" s="193"/>
      <c r="Q206" s="87"/>
      <c r="R206" s="87"/>
      <c r="S206" s="87"/>
      <c r="T206" s="87"/>
      <c r="U206" s="87"/>
      <c r="V206" s="87"/>
      <c r="W206" s="87"/>
      <c r="X206" s="110">
        <f t="shared" si="51"/>
        <v>0</v>
      </c>
    </row>
    <row r="207" spans="1:24" ht="21" customHeight="1">
      <c r="A207" s="108">
        <v>411600</v>
      </c>
      <c r="B207" s="73" t="s">
        <v>315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192"/>
      <c r="P207" s="192"/>
      <c r="Q207" s="76"/>
      <c r="R207" s="76"/>
      <c r="S207" s="76"/>
      <c r="T207" s="76"/>
      <c r="U207" s="76"/>
      <c r="V207" s="76"/>
      <c r="W207" s="76"/>
      <c r="X207" s="110">
        <f>SUM(C207:W207)</f>
        <v>0</v>
      </c>
    </row>
    <row r="208" spans="1:24" ht="21" customHeight="1">
      <c r="A208" s="108">
        <v>411800</v>
      </c>
      <c r="B208" s="73" t="s">
        <v>265</v>
      </c>
      <c r="C208" s="76">
        <f>9900+6600</f>
        <v>16500</v>
      </c>
      <c r="D208" s="76"/>
      <c r="E208" s="76"/>
      <c r="F208" s="76"/>
      <c r="G208" s="76"/>
      <c r="H208" s="76"/>
      <c r="I208" s="76"/>
      <c r="J208" s="76"/>
      <c r="K208" s="76"/>
      <c r="L208" s="76">
        <v>13160</v>
      </c>
      <c r="M208" s="76">
        <v>0</v>
      </c>
      <c r="N208" s="76"/>
      <c r="O208" s="192"/>
      <c r="P208" s="192"/>
      <c r="Q208" s="76"/>
      <c r="R208" s="76"/>
      <c r="S208" s="76"/>
      <c r="T208" s="76"/>
      <c r="U208" s="76"/>
      <c r="V208" s="76">
        <v>0</v>
      </c>
      <c r="W208" s="76"/>
      <c r="X208" s="110">
        <f>SUM(C208:W208)</f>
        <v>29660</v>
      </c>
    </row>
    <row r="209" spans="1:26" ht="21" customHeight="1">
      <c r="A209" s="490" t="s">
        <v>230</v>
      </c>
      <c r="B209" s="491"/>
      <c r="C209" s="110">
        <f>SUM(C195:C208)</f>
        <v>16500</v>
      </c>
      <c r="D209" s="110">
        <f aca="true" t="shared" si="52" ref="D209:O209">SUM(D195:D208)</f>
        <v>0</v>
      </c>
      <c r="E209" s="110">
        <f t="shared" si="52"/>
        <v>0</v>
      </c>
      <c r="F209" s="110">
        <f t="shared" si="52"/>
        <v>0</v>
      </c>
      <c r="G209" s="110">
        <f t="shared" si="52"/>
        <v>0</v>
      </c>
      <c r="H209" s="110">
        <f t="shared" si="52"/>
        <v>0</v>
      </c>
      <c r="I209" s="110">
        <f t="shared" si="52"/>
        <v>0</v>
      </c>
      <c r="J209" s="110">
        <f t="shared" si="52"/>
        <v>0</v>
      </c>
      <c r="K209" s="110">
        <f t="shared" si="52"/>
        <v>0</v>
      </c>
      <c r="L209" s="110">
        <f t="shared" si="52"/>
        <v>13160</v>
      </c>
      <c r="M209" s="110">
        <f t="shared" si="52"/>
        <v>0</v>
      </c>
      <c r="N209" s="110">
        <f t="shared" si="52"/>
        <v>0</v>
      </c>
      <c r="O209" s="110">
        <f t="shared" si="52"/>
        <v>0</v>
      </c>
      <c r="P209" s="194">
        <f>SUM(P195:P208)</f>
        <v>0</v>
      </c>
      <c r="Q209" s="110">
        <f>SUM(Q195:Q208)</f>
        <v>0</v>
      </c>
      <c r="R209" s="110">
        <f>SUM(R195:R208)</f>
        <v>0</v>
      </c>
      <c r="S209" s="110"/>
      <c r="T209" s="110">
        <f>SUM(T195:T208)</f>
        <v>0</v>
      </c>
      <c r="U209" s="110">
        <f>SUM(U195:U208)</f>
        <v>0</v>
      </c>
      <c r="V209" s="110">
        <f>SUM(V195:V208)</f>
        <v>0</v>
      </c>
      <c r="W209" s="110">
        <f>SUM(W195:W208)</f>
        <v>0</v>
      </c>
      <c r="X209" s="110">
        <f>SUM(C209:W209)</f>
        <v>29660</v>
      </c>
      <c r="Y209" s="106">
        <v>13160</v>
      </c>
      <c r="Z209" s="124">
        <f>+Y209-X209</f>
        <v>-16500</v>
      </c>
    </row>
    <row r="210" spans="1:24" ht="21" customHeight="1">
      <c r="A210" s="492" t="s">
        <v>231</v>
      </c>
      <c r="B210" s="493"/>
      <c r="C210" s="114">
        <f aca="true" t="shared" si="53" ref="C210:X210">+C209+C94</f>
        <v>16500</v>
      </c>
      <c r="D210" s="114">
        <f t="shared" si="53"/>
        <v>0</v>
      </c>
      <c r="E210" s="114">
        <f t="shared" si="53"/>
        <v>0</v>
      </c>
      <c r="F210" s="114">
        <f t="shared" si="53"/>
        <v>0</v>
      </c>
      <c r="G210" s="114">
        <f t="shared" si="53"/>
        <v>0</v>
      </c>
      <c r="H210" s="114">
        <f t="shared" si="53"/>
        <v>0</v>
      </c>
      <c r="I210" s="114">
        <f t="shared" si="53"/>
        <v>0</v>
      </c>
      <c r="J210" s="114">
        <f t="shared" si="53"/>
        <v>0</v>
      </c>
      <c r="K210" s="114">
        <f t="shared" si="53"/>
        <v>0</v>
      </c>
      <c r="L210" s="114">
        <f t="shared" si="53"/>
        <v>13160</v>
      </c>
      <c r="M210" s="114">
        <f t="shared" si="53"/>
        <v>0</v>
      </c>
      <c r="N210" s="114">
        <f t="shared" si="53"/>
        <v>0</v>
      </c>
      <c r="O210" s="114">
        <f t="shared" si="53"/>
        <v>0</v>
      </c>
      <c r="P210" s="114">
        <f t="shared" si="53"/>
        <v>0</v>
      </c>
      <c r="Q210" s="114">
        <f t="shared" si="53"/>
        <v>0</v>
      </c>
      <c r="R210" s="114">
        <f t="shared" si="53"/>
        <v>0</v>
      </c>
      <c r="S210" s="114">
        <f t="shared" si="53"/>
        <v>0</v>
      </c>
      <c r="T210" s="114">
        <f t="shared" si="53"/>
        <v>0</v>
      </c>
      <c r="U210" s="114">
        <f t="shared" si="53"/>
        <v>0</v>
      </c>
      <c r="V210" s="114">
        <f t="shared" si="53"/>
        <v>0</v>
      </c>
      <c r="W210" s="114">
        <f t="shared" si="53"/>
        <v>0</v>
      </c>
      <c r="X210" s="114">
        <f t="shared" si="53"/>
        <v>29660</v>
      </c>
    </row>
    <row r="211" spans="1:24" ht="21" customHeight="1">
      <c r="A211" s="497" t="s">
        <v>194</v>
      </c>
      <c r="B211" s="497"/>
      <c r="C211" s="496" t="s">
        <v>196</v>
      </c>
      <c r="D211" s="496"/>
      <c r="E211" s="499" t="s">
        <v>199</v>
      </c>
      <c r="F211" s="500"/>
      <c r="G211" s="496" t="s">
        <v>201</v>
      </c>
      <c r="H211" s="497"/>
      <c r="I211" s="499" t="s">
        <v>215</v>
      </c>
      <c r="J211" s="500"/>
      <c r="K211" s="323" t="s">
        <v>216</v>
      </c>
      <c r="L211" s="499" t="s">
        <v>217</v>
      </c>
      <c r="M211" s="501"/>
      <c r="N211" s="500"/>
      <c r="O211" s="499" t="s">
        <v>218</v>
      </c>
      <c r="P211" s="500"/>
      <c r="Q211" s="499" t="s">
        <v>219</v>
      </c>
      <c r="R211" s="501"/>
      <c r="S211" s="500"/>
      <c r="T211" s="496" t="s">
        <v>220</v>
      </c>
      <c r="U211" s="497"/>
      <c r="V211" s="323" t="s">
        <v>284</v>
      </c>
      <c r="W211" s="323" t="s">
        <v>221</v>
      </c>
      <c r="X211" s="498" t="s">
        <v>17</v>
      </c>
    </row>
    <row r="212" spans="1:24" ht="21" customHeight="1">
      <c r="A212" s="497" t="s">
        <v>195</v>
      </c>
      <c r="B212" s="497"/>
      <c r="C212" s="323" t="s">
        <v>197</v>
      </c>
      <c r="D212" s="323" t="s">
        <v>198</v>
      </c>
      <c r="E212" s="323" t="s">
        <v>200</v>
      </c>
      <c r="F212" s="323" t="s">
        <v>288</v>
      </c>
      <c r="G212" s="323" t="s">
        <v>202</v>
      </c>
      <c r="H212" s="323" t="s">
        <v>203</v>
      </c>
      <c r="I212" s="323" t="s">
        <v>204</v>
      </c>
      <c r="J212" s="323" t="s">
        <v>205</v>
      </c>
      <c r="K212" s="323" t="s">
        <v>206</v>
      </c>
      <c r="L212" s="323" t="s">
        <v>207</v>
      </c>
      <c r="M212" s="323" t="s">
        <v>208</v>
      </c>
      <c r="N212" s="323" t="s">
        <v>334</v>
      </c>
      <c r="O212" s="322" t="s">
        <v>471</v>
      </c>
      <c r="P212" s="322" t="s">
        <v>209</v>
      </c>
      <c r="Q212" s="323" t="s">
        <v>210</v>
      </c>
      <c r="R212" s="323" t="s">
        <v>211</v>
      </c>
      <c r="S212" s="323" t="s">
        <v>290</v>
      </c>
      <c r="T212" s="323" t="s">
        <v>212</v>
      </c>
      <c r="U212" s="323" t="s">
        <v>213</v>
      </c>
      <c r="V212" s="323" t="s">
        <v>285</v>
      </c>
      <c r="W212" s="323" t="s">
        <v>214</v>
      </c>
      <c r="X212" s="498"/>
    </row>
    <row r="213" spans="1:24" ht="21" customHeight="1">
      <c r="A213" s="488" t="s">
        <v>277</v>
      </c>
      <c r="B213" s="489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95"/>
      <c r="P213" s="195"/>
      <c r="Q213" s="115"/>
      <c r="R213" s="115"/>
      <c r="S213" s="115"/>
      <c r="T213" s="115"/>
      <c r="U213" s="115"/>
      <c r="V213" s="115"/>
      <c r="W213" s="115"/>
      <c r="X213" s="116">
        <f>SUM(C213:W213)</f>
        <v>0</v>
      </c>
    </row>
    <row r="214" spans="1:24" ht="21" customHeight="1">
      <c r="A214" s="108">
        <v>429000</v>
      </c>
      <c r="B214" s="109" t="s">
        <v>10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192"/>
      <c r="P214" s="192"/>
      <c r="Q214" s="76"/>
      <c r="R214" s="76"/>
      <c r="S214" s="76"/>
      <c r="T214" s="76"/>
      <c r="U214" s="76"/>
      <c r="V214" s="76"/>
      <c r="W214" s="76"/>
      <c r="X214" s="110">
        <f>SUM(C214:W214)</f>
        <v>0</v>
      </c>
    </row>
    <row r="215" spans="1:24" ht="21" customHeight="1">
      <c r="A215" s="111">
        <v>421000</v>
      </c>
      <c r="B215" s="112" t="s">
        <v>281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193"/>
      <c r="P215" s="193"/>
      <c r="Q215" s="87"/>
      <c r="R215" s="87"/>
      <c r="S215" s="87"/>
      <c r="T215" s="87"/>
      <c r="U215" s="87"/>
      <c r="V215" s="87"/>
      <c r="W215" s="87"/>
      <c r="X215" s="113">
        <f>SUM(C215:W215)</f>
        <v>0</v>
      </c>
    </row>
    <row r="216" spans="1:24" ht="21" customHeight="1">
      <c r="A216" s="490" t="s">
        <v>230</v>
      </c>
      <c r="B216" s="491"/>
      <c r="C216" s="110">
        <f>SUM(C214:C215)</f>
        <v>0</v>
      </c>
      <c r="D216" s="110">
        <f aca="true" t="shared" si="54" ref="D216:V216">SUM(D214:D215)</f>
        <v>0</v>
      </c>
      <c r="E216" s="110">
        <f t="shared" si="54"/>
        <v>0</v>
      </c>
      <c r="F216" s="110">
        <f t="shared" si="54"/>
        <v>0</v>
      </c>
      <c r="G216" s="110">
        <f t="shared" si="54"/>
        <v>0</v>
      </c>
      <c r="H216" s="110">
        <f t="shared" si="54"/>
        <v>0</v>
      </c>
      <c r="I216" s="110">
        <f t="shared" si="54"/>
        <v>0</v>
      </c>
      <c r="J216" s="110">
        <f t="shared" si="54"/>
        <v>0</v>
      </c>
      <c r="K216" s="110">
        <f t="shared" si="54"/>
        <v>0</v>
      </c>
      <c r="L216" s="110">
        <f t="shared" si="54"/>
        <v>0</v>
      </c>
      <c r="M216" s="110">
        <f t="shared" si="54"/>
        <v>0</v>
      </c>
      <c r="N216" s="110">
        <f t="shared" si="54"/>
        <v>0</v>
      </c>
      <c r="O216" s="110">
        <f t="shared" si="54"/>
        <v>0</v>
      </c>
      <c r="P216" s="110">
        <f t="shared" si="54"/>
        <v>0</v>
      </c>
      <c r="Q216" s="110">
        <f t="shared" si="54"/>
        <v>0</v>
      </c>
      <c r="R216" s="110">
        <f t="shared" si="54"/>
        <v>0</v>
      </c>
      <c r="S216" s="110">
        <f t="shared" si="54"/>
        <v>0</v>
      </c>
      <c r="T216" s="110">
        <f t="shared" si="54"/>
        <v>0</v>
      </c>
      <c r="U216" s="110">
        <f t="shared" si="54"/>
        <v>0</v>
      </c>
      <c r="V216" s="110">
        <f t="shared" si="54"/>
        <v>0</v>
      </c>
      <c r="W216" s="110">
        <f>SUM(W214:W215)</f>
        <v>0</v>
      </c>
      <c r="X216" s="110">
        <f>SUM(C216:W216)</f>
        <v>0</v>
      </c>
    </row>
    <row r="217" spans="1:24" ht="21" customHeight="1">
      <c r="A217" s="492" t="s">
        <v>231</v>
      </c>
      <c r="B217" s="493"/>
      <c r="C217" s="114">
        <f>+C216+C101</f>
        <v>0</v>
      </c>
      <c r="D217" s="114">
        <f aca="true" t="shared" si="55" ref="D217:X217">+D216+D101</f>
        <v>0</v>
      </c>
      <c r="E217" s="114">
        <f t="shared" si="55"/>
        <v>0</v>
      </c>
      <c r="F217" s="114">
        <f t="shared" si="55"/>
        <v>0</v>
      </c>
      <c r="G217" s="114">
        <f t="shared" si="55"/>
        <v>0</v>
      </c>
      <c r="H217" s="114">
        <f t="shared" si="55"/>
        <v>0</v>
      </c>
      <c r="I217" s="114">
        <f t="shared" si="55"/>
        <v>0</v>
      </c>
      <c r="J217" s="114">
        <f t="shared" si="55"/>
        <v>0</v>
      </c>
      <c r="K217" s="114">
        <f t="shared" si="55"/>
        <v>0</v>
      </c>
      <c r="L217" s="114">
        <f t="shared" si="55"/>
        <v>0</v>
      </c>
      <c r="M217" s="114">
        <f t="shared" si="55"/>
        <v>0</v>
      </c>
      <c r="N217" s="114">
        <f t="shared" si="55"/>
        <v>0</v>
      </c>
      <c r="O217" s="114">
        <f t="shared" si="55"/>
        <v>0</v>
      </c>
      <c r="P217" s="114">
        <f t="shared" si="55"/>
        <v>0</v>
      </c>
      <c r="Q217" s="114">
        <f t="shared" si="55"/>
        <v>0</v>
      </c>
      <c r="R217" s="114">
        <f t="shared" si="55"/>
        <v>0</v>
      </c>
      <c r="S217" s="114">
        <f t="shared" si="55"/>
        <v>0</v>
      </c>
      <c r="T217" s="114">
        <f t="shared" si="55"/>
        <v>0</v>
      </c>
      <c r="U217" s="114">
        <f t="shared" si="55"/>
        <v>0</v>
      </c>
      <c r="V217" s="114">
        <f t="shared" si="55"/>
        <v>0</v>
      </c>
      <c r="W217" s="114">
        <f t="shared" si="55"/>
        <v>0</v>
      </c>
      <c r="X217" s="114">
        <f t="shared" si="55"/>
        <v>0</v>
      </c>
    </row>
    <row r="218" spans="1:24" ht="21" customHeight="1">
      <c r="A218" s="488" t="s">
        <v>278</v>
      </c>
      <c r="B218" s="489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95"/>
      <c r="P218" s="195"/>
      <c r="Q218" s="115"/>
      <c r="R218" s="115"/>
      <c r="S218" s="115"/>
      <c r="T218" s="115"/>
      <c r="U218" s="115"/>
      <c r="V218" s="115"/>
      <c r="W218" s="115"/>
      <c r="X218" s="116">
        <f aca="true" t="shared" si="56" ref="X218:X223">SUM(C218:W218)</f>
        <v>0</v>
      </c>
    </row>
    <row r="219" spans="1:24" ht="21" customHeight="1">
      <c r="A219" s="108">
        <v>610100</v>
      </c>
      <c r="B219" s="117" t="s">
        <v>280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192"/>
      <c r="P219" s="192"/>
      <c r="Q219" s="76"/>
      <c r="R219" s="76"/>
      <c r="S219" s="76"/>
      <c r="T219" s="76"/>
      <c r="U219" s="76"/>
      <c r="V219" s="76"/>
      <c r="W219" s="76"/>
      <c r="X219" s="110">
        <f t="shared" si="56"/>
        <v>0</v>
      </c>
    </row>
    <row r="220" spans="1:24" ht="21" customHeight="1">
      <c r="A220" s="108">
        <v>610200</v>
      </c>
      <c r="B220" s="109" t="s">
        <v>266</v>
      </c>
      <c r="C220" s="76"/>
      <c r="D220" s="76"/>
      <c r="E220" s="76"/>
      <c r="F220" s="76"/>
      <c r="G220" s="76"/>
      <c r="H220" s="76">
        <f>611000+4000+8000+321000</f>
        <v>944000</v>
      </c>
      <c r="I220" s="76"/>
      <c r="J220" s="76"/>
      <c r="K220" s="76"/>
      <c r="L220" s="76"/>
      <c r="M220" s="76"/>
      <c r="N220" s="76"/>
      <c r="O220" s="192"/>
      <c r="P220" s="192"/>
      <c r="Q220" s="76"/>
      <c r="R220" s="76"/>
      <c r="S220" s="76"/>
      <c r="T220" s="76"/>
      <c r="U220" s="76"/>
      <c r="V220" s="76"/>
      <c r="W220" s="76"/>
      <c r="X220" s="110">
        <f t="shared" si="56"/>
        <v>944000</v>
      </c>
    </row>
    <row r="221" spans="1:24" ht="21" customHeight="1">
      <c r="A221" s="111">
        <v>610300</v>
      </c>
      <c r="B221" s="112" t="s">
        <v>390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193"/>
      <c r="P221" s="193"/>
      <c r="Q221" s="87"/>
      <c r="R221" s="87"/>
      <c r="S221" s="87"/>
      <c r="T221" s="87"/>
      <c r="U221" s="87"/>
      <c r="V221" s="87"/>
      <c r="W221" s="87"/>
      <c r="X221" s="110">
        <f t="shared" si="56"/>
        <v>0</v>
      </c>
    </row>
    <row r="222" spans="1:24" ht="21" customHeight="1">
      <c r="A222" s="111">
        <v>610400</v>
      </c>
      <c r="B222" s="112" t="s">
        <v>279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193"/>
      <c r="P222" s="193"/>
      <c r="Q222" s="87"/>
      <c r="R222" s="87"/>
      <c r="S222" s="87"/>
      <c r="T222" s="87"/>
      <c r="U222" s="87"/>
      <c r="V222" s="87"/>
      <c r="W222" s="87"/>
      <c r="X222" s="113">
        <f t="shared" si="56"/>
        <v>0</v>
      </c>
    </row>
    <row r="223" spans="1:24" ht="21" customHeight="1">
      <c r="A223" s="490" t="s">
        <v>230</v>
      </c>
      <c r="B223" s="491"/>
      <c r="C223" s="110">
        <f>SUM(C219:C222)</f>
        <v>0</v>
      </c>
      <c r="D223" s="110">
        <f aca="true" t="shared" si="57" ref="D223:S223">SUM(D219:D222)</f>
        <v>0</v>
      </c>
      <c r="E223" s="110">
        <f t="shared" si="57"/>
        <v>0</v>
      </c>
      <c r="F223" s="110">
        <f t="shared" si="57"/>
        <v>0</v>
      </c>
      <c r="G223" s="110">
        <f t="shared" si="57"/>
        <v>0</v>
      </c>
      <c r="H223" s="110">
        <f t="shared" si="57"/>
        <v>944000</v>
      </c>
      <c r="I223" s="110">
        <f t="shared" si="57"/>
        <v>0</v>
      </c>
      <c r="J223" s="110">
        <f t="shared" si="57"/>
        <v>0</v>
      </c>
      <c r="K223" s="110">
        <f t="shared" si="57"/>
        <v>0</v>
      </c>
      <c r="L223" s="110">
        <f t="shared" si="57"/>
        <v>0</v>
      </c>
      <c r="M223" s="110">
        <f t="shared" si="57"/>
        <v>0</v>
      </c>
      <c r="N223" s="110">
        <f t="shared" si="57"/>
        <v>0</v>
      </c>
      <c r="O223" s="110">
        <f t="shared" si="57"/>
        <v>0</v>
      </c>
      <c r="P223" s="110">
        <f t="shared" si="57"/>
        <v>0</v>
      </c>
      <c r="Q223" s="110">
        <f t="shared" si="57"/>
        <v>0</v>
      </c>
      <c r="R223" s="110">
        <f t="shared" si="57"/>
        <v>0</v>
      </c>
      <c r="S223" s="110">
        <f t="shared" si="57"/>
        <v>0</v>
      </c>
      <c r="T223" s="110">
        <f>SUM(T219:T222)</f>
        <v>0</v>
      </c>
      <c r="U223" s="110">
        <f>SUM(U219:U222)</f>
        <v>0</v>
      </c>
      <c r="V223" s="110">
        <f>SUM(V219:V222)</f>
        <v>0</v>
      </c>
      <c r="W223" s="110">
        <f>SUM(W219:W222)</f>
        <v>0</v>
      </c>
      <c r="X223" s="110">
        <f t="shared" si="56"/>
        <v>944000</v>
      </c>
    </row>
    <row r="224" spans="1:24" ht="21" customHeight="1">
      <c r="A224" s="492" t="s">
        <v>231</v>
      </c>
      <c r="B224" s="493"/>
      <c r="C224" s="114">
        <f>+C223+C108</f>
        <v>0</v>
      </c>
      <c r="D224" s="114">
        <f aca="true" t="shared" si="58" ref="D224:X224">+D223+D108</f>
        <v>0</v>
      </c>
      <c r="E224" s="114">
        <f t="shared" si="58"/>
        <v>0</v>
      </c>
      <c r="F224" s="114">
        <f t="shared" si="58"/>
        <v>0</v>
      </c>
      <c r="G224" s="114">
        <f t="shared" si="58"/>
        <v>0</v>
      </c>
      <c r="H224" s="114">
        <f t="shared" si="58"/>
        <v>944000</v>
      </c>
      <c r="I224" s="114">
        <f t="shared" si="58"/>
        <v>0</v>
      </c>
      <c r="J224" s="114">
        <f t="shared" si="58"/>
        <v>0</v>
      </c>
      <c r="K224" s="114">
        <f t="shared" si="58"/>
        <v>0</v>
      </c>
      <c r="L224" s="114">
        <f t="shared" si="58"/>
        <v>0</v>
      </c>
      <c r="M224" s="114">
        <f t="shared" si="58"/>
        <v>0</v>
      </c>
      <c r="N224" s="114">
        <f t="shared" si="58"/>
        <v>0</v>
      </c>
      <c r="O224" s="114">
        <f t="shared" si="58"/>
        <v>0</v>
      </c>
      <c r="P224" s="114">
        <f t="shared" si="58"/>
        <v>0</v>
      </c>
      <c r="Q224" s="114">
        <f t="shared" si="58"/>
        <v>0</v>
      </c>
      <c r="R224" s="114">
        <f t="shared" si="58"/>
        <v>0</v>
      </c>
      <c r="S224" s="114">
        <f t="shared" si="58"/>
        <v>0</v>
      </c>
      <c r="T224" s="114">
        <f t="shared" si="58"/>
        <v>0</v>
      </c>
      <c r="U224" s="114">
        <f t="shared" si="58"/>
        <v>0</v>
      </c>
      <c r="V224" s="114">
        <f t="shared" si="58"/>
        <v>0</v>
      </c>
      <c r="W224" s="114">
        <f t="shared" si="58"/>
        <v>0</v>
      </c>
      <c r="X224" s="114">
        <f t="shared" si="58"/>
        <v>944000</v>
      </c>
    </row>
    <row r="225" spans="1:24" ht="21" customHeight="1">
      <c r="A225" s="488" t="s">
        <v>282</v>
      </c>
      <c r="B225" s="489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95"/>
      <c r="P225" s="195"/>
      <c r="Q225" s="115"/>
      <c r="R225" s="115"/>
      <c r="S225" s="115"/>
      <c r="T225" s="115"/>
      <c r="U225" s="115"/>
      <c r="V225" s="115"/>
      <c r="W225" s="115"/>
      <c r="X225" s="116">
        <f>SUM(C225:W225)</f>
        <v>0</v>
      </c>
    </row>
    <row r="226" spans="1:24" ht="21" customHeight="1">
      <c r="A226" s="108">
        <v>551000</v>
      </c>
      <c r="B226" s="109" t="s">
        <v>12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192"/>
      <c r="P226" s="192"/>
      <c r="Q226" s="76"/>
      <c r="R226" s="76"/>
      <c r="S226" s="76"/>
      <c r="T226" s="76"/>
      <c r="U226" s="76"/>
      <c r="V226" s="76"/>
      <c r="W226" s="76"/>
      <c r="X226" s="110">
        <f>SUM(C226:W226)</f>
        <v>0</v>
      </c>
    </row>
    <row r="227" spans="1:24" ht="21" customHeight="1">
      <c r="A227" s="111">
        <v>510100</v>
      </c>
      <c r="B227" s="112" t="s">
        <v>283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193"/>
      <c r="P227" s="193"/>
      <c r="Q227" s="87"/>
      <c r="R227" s="87"/>
      <c r="S227" s="87"/>
      <c r="T227" s="87"/>
      <c r="U227" s="87"/>
      <c r="V227" s="87"/>
      <c r="W227" s="87"/>
      <c r="X227" s="113">
        <f>SUM(C227:W227)</f>
        <v>0</v>
      </c>
    </row>
    <row r="228" spans="1:24" ht="21" customHeight="1">
      <c r="A228" s="490" t="s">
        <v>230</v>
      </c>
      <c r="B228" s="491"/>
      <c r="C228" s="110">
        <f>SUM(C226:C227)</f>
        <v>0</v>
      </c>
      <c r="D228" s="110">
        <f aca="true" t="shared" si="59" ref="D228:X228">SUM(D226:D227)</f>
        <v>0</v>
      </c>
      <c r="E228" s="110">
        <f t="shared" si="59"/>
        <v>0</v>
      </c>
      <c r="F228" s="110">
        <f t="shared" si="59"/>
        <v>0</v>
      </c>
      <c r="G228" s="110">
        <f t="shared" si="59"/>
        <v>0</v>
      </c>
      <c r="H228" s="110">
        <f t="shared" si="59"/>
        <v>0</v>
      </c>
      <c r="I228" s="110">
        <f t="shared" si="59"/>
        <v>0</v>
      </c>
      <c r="J228" s="110">
        <f t="shared" si="59"/>
        <v>0</v>
      </c>
      <c r="K228" s="110">
        <f t="shared" si="59"/>
        <v>0</v>
      </c>
      <c r="L228" s="110">
        <f t="shared" si="59"/>
        <v>0</v>
      </c>
      <c r="M228" s="110">
        <f t="shared" si="59"/>
        <v>0</v>
      </c>
      <c r="N228" s="110">
        <f t="shared" si="59"/>
        <v>0</v>
      </c>
      <c r="O228" s="110">
        <f t="shared" si="59"/>
        <v>0</v>
      </c>
      <c r="P228" s="110">
        <f t="shared" si="59"/>
        <v>0</v>
      </c>
      <c r="Q228" s="110">
        <f t="shared" si="59"/>
        <v>0</v>
      </c>
      <c r="R228" s="110">
        <f t="shared" si="59"/>
        <v>0</v>
      </c>
      <c r="S228" s="110">
        <f t="shared" si="59"/>
        <v>0</v>
      </c>
      <c r="T228" s="110">
        <f t="shared" si="59"/>
        <v>0</v>
      </c>
      <c r="U228" s="110">
        <f t="shared" si="59"/>
        <v>0</v>
      </c>
      <c r="V228" s="110">
        <f t="shared" si="59"/>
        <v>0</v>
      </c>
      <c r="W228" s="110">
        <f t="shared" si="59"/>
        <v>0</v>
      </c>
      <c r="X228" s="110">
        <f t="shared" si="59"/>
        <v>0</v>
      </c>
    </row>
    <row r="229" spans="1:24" ht="21" customHeight="1">
      <c r="A229" s="492" t="s">
        <v>231</v>
      </c>
      <c r="B229" s="493"/>
      <c r="C229" s="114">
        <f>+C228+C113</f>
        <v>0</v>
      </c>
      <c r="D229" s="114">
        <f aca="true" t="shared" si="60" ref="D229:X229">+D228+D113</f>
        <v>0</v>
      </c>
      <c r="E229" s="114">
        <f t="shared" si="60"/>
        <v>0</v>
      </c>
      <c r="F229" s="114">
        <f t="shared" si="60"/>
        <v>0</v>
      </c>
      <c r="G229" s="114">
        <f t="shared" si="60"/>
        <v>0</v>
      </c>
      <c r="H229" s="114">
        <f t="shared" si="60"/>
        <v>0</v>
      </c>
      <c r="I229" s="114">
        <f t="shared" si="60"/>
        <v>0</v>
      </c>
      <c r="J229" s="114">
        <f t="shared" si="60"/>
        <v>0</v>
      </c>
      <c r="K229" s="114">
        <f t="shared" si="60"/>
        <v>0</v>
      </c>
      <c r="L229" s="114">
        <f t="shared" si="60"/>
        <v>0</v>
      </c>
      <c r="M229" s="114">
        <f t="shared" si="60"/>
        <v>0</v>
      </c>
      <c r="N229" s="114">
        <f t="shared" si="60"/>
        <v>0</v>
      </c>
      <c r="O229" s="114">
        <f t="shared" si="60"/>
        <v>0</v>
      </c>
      <c r="P229" s="114">
        <f t="shared" si="60"/>
        <v>0</v>
      </c>
      <c r="Q229" s="114">
        <f t="shared" si="60"/>
        <v>0</v>
      </c>
      <c r="R229" s="114">
        <f t="shared" si="60"/>
        <v>0</v>
      </c>
      <c r="S229" s="114">
        <f t="shared" si="60"/>
        <v>0</v>
      </c>
      <c r="T229" s="114">
        <f t="shared" si="60"/>
        <v>0</v>
      </c>
      <c r="U229" s="114">
        <f t="shared" si="60"/>
        <v>0</v>
      </c>
      <c r="V229" s="114">
        <f t="shared" si="60"/>
        <v>0</v>
      </c>
      <c r="W229" s="114">
        <f t="shared" si="60"/>
        <v>0</v>
      </c>
      <c r="X229" s="114">
        <f t="shared" si="60"/>
        <v>0</v>
      </c>
    </row>
    <row r="230" spans="1:24" ht="21" customHeight="1">
      <c r="A230" s="494" t="s">
        <v>230</v>
      </c>
      <c r="B230" s="495"/>
      <c r="C230" s="49">
        <f aca="true" t="shared" si="61" ref="C230:W230">SUM(C130,C138,C150,C159,C166,C185,C192,C209,C216,C223,C228)</f>
        <v>644814.61</v>
      </c>
      <c r="D230" s="49">
        <f t="shared" si="61"/>
        <v>181582</v>
      </c>
      <c r="E230" s="49">
        <f t="shared" si="61"/>
        <v>20770</v>
      </c>
      <c r="F230" s="49">
        <f t="shared" si="61"/>
        <v>3250</v>
      </c>
      <c r="G230" s="49">
        <f t="shared" si="61"/>
        <v>46220</v>
      </c>
      <c r="H230" s="49">
        <f t="shared" si="61"/>
        <v>1154000</v>
      </c>
      <c r="I230" s="49">
        <f t="shared" si="61"/>
        <v>26760</v>
      </c>
      <c r="J230" s="49">
        <f t="shared" si="61"/>
        <v>20500</v>
      </c>
      <c r="K230" s="49">
        <f t="shared" si="61"/>
        <v>0</v>
      </c>
      <c r="L230" s="49">
        <f t="shared" si="61"/>
        <v>100270</v>
      </c>
      <c r="M230" s="49">
        <f t="shared" si="61"/>
        <v>0</v>
      </c>
      <c r="N230" s="49">
        <f t="shared" si="61"/>
        <v>107880</v>
      </c>
      <c r="O230" s="49">
        <f t="shared" si="61"/>
        <v>46350</v>
      </c>
      <c r="P230" s="49">
        <f t="shared" si="61"/>
        <v>4030</v>
      </c>
      <c r="Q230" s="49">
        <f t="shared" si="61"/>
        <v>8700</v>
      </c>
      <c r="R230" s="49">
        <f t="shared" si="61"/>
        <v>5750</v>
      </c>
      <c r="S230" s="49">
        <f t="shared" si="61"/>
        <v>0</v>
      </c>
      <c r="T230" s="49">
        <f t="shared" si="61"/>
        <v>0</v>
      </c>
      <c r="U230" s="49">
        <f t="shared" si="61"/>
        <v>0</v>
      </c>
      <c r="V230" s="49">
        <f t="shared" si="61"/>
        <v>65339.89</v>
      </c>
      <c r="W230" s="49">
        <f t="shared" si="61"/>
        <v>16870</v>
      </c>
      <c r="X230" s="49">
        <f>SUM(C230:W230)</f>
        <v>2453086.5</v>
      </c>
    </row>
    <row r="231" spans="1:25" ht="21" customHeight="1">
      <c r="A231" s="494" t="s">
        <v>231</v>
      </c>
      <c r="B231" s="495"/>
      <c r="C231" s="49">
        <f>SUM(C131,C139,C151,C160,C167,C186,C193,C210,C217,C224,C229)</f>
        <v>1143376.21</v>
      </c>
      <c r="D231" s="49">
        <f>SUM(D131,D139,D151,D160,D167,D186,D193,D210,D217,D224,D229)</f>
        <v>274718.8</v>
      </c>
      <c r="E231" s="49">
        <f aca="true" t="shared" si="62" ref="E231:W231">SUM(E131,E139,E151,E160,E167,E186,E193,E210,E217,E224,E229)</f>
        <v>41540</v>
      </c>
      <c r="F231" s="49">
        <f t="shared" si="62"/>
        <v>3250</v>
      </c>
      <c r="G231" s="49">
        <f t="shared" si="62"/>
        <v>62460</v>
      </c>
      <c r="H231" s="49">
        <f t="shared" si="62"/>
        <v>1154000</v>
      </c>
      <c r="I231" s="49">
        <f t="shared" si="62"/>
        <v>53520</v>
      </c>
      <c r="J231" s="49">
        <f t="shared" si="62"/>
        <v>20500</v>
      </c>
      <c r="K231" s="49">
        <f t="shared" si="62"/>
        <v>0</v>
      </c>
      <c r="L231" s="49">
        <f t="shared" si="62"/>
        <v>177348</v>
      </c>
      <c r="M231" s="49">
        <f t="shared" si="62"/>
        <v>0</v>
      </c>
      <c r="N231" s="49">
        <f t="shared" si="62"/>
        <v>121338.75</v>
      </c>
      <c r="O231" s="351">
        <f t="shared" si="62"/>
        <v>90750</v>
      </c>
      <c r="P231" s="351">
        <f t="shared" si="62"/>
        <v>4030</v>
      </c>
      <c r="Q231" s="351">
        <f t="shared" si="62"/>
        <v>8700</v>
      </c>
      <c r="R231" s="351">
        <f t="shared" si="62"/>
        <v>5750</v>
      </c>
      <c r="S231" s="351">
        <f t="shared" si="62"/>
        <v>0</v>
      </c>
      <c r="T231" s="351">
        <f t="shared" si="62"/>
        <v>0</v>
      </c>
      <c r="U231" s="351">
        <f t="shared" si="62"/>
        <v>0</v>
      </c>
      <c r="V231" s="351">
        <f t="shared" si="62"/>
        <v>65339.89</v>
      </c>
      <c r="W231" s="351">
        <f t="shared" si="62"/>
        <v>33384</v>
      </c>
      <c r="X231" s="351">
        <f>SUM(C231:W231)</f>
        <v>3260005.65</v>
      </c>
      <c r="Y231" s="106">
        <f>+งบดุลบัญชี!Q117</f>
        <v>3260005.6500000004</v>
      </c>
    </row>
    <row r="232" spans="1:25" ht="21" customHeight="1">
      <c r="A232" s="502" t="s">
        <v>364</v>
      </c>
      <c r="B232" s="502"/>
      <c r="C232" s="502"/>
      <c r="D232" s="502"/>
      <c r="E232" s="502"/>
      <c r="F232" s="502"/>
      <c r="G232" s="502"/>
      <c r="H232" s="502"/>
      <c r="I232" s="502"/>
      <c r="J232" s="502"/>
      <c r="K232" s="502"/>
      <c r="L232" s="502"/>
      <c r="M232" s="502"/>
      <c r="N232" s="502"/>
      <c r="O232" s="503" t="str">
        <f>+A232</f>
        <v>เทศบาลตำบลเขาพระ อำเภอพิปูน จังหวัดนครศรีธรรมราช</v>
      </c>
      <c r="P232" s="503"/>
      <c r="Q232" s="503"/>
      <c r="R232" s="503"/>
      <c r="S232" s="503"/>
      <c r="T232" s="503"/>
      <c r="U232" s="503"/>
      <c r="V232" s="503"/>
      <c r="W232" s="503"/>
      <c r="X232" s="503"/>
      <c r="Y232" s="106">
        <f>+X231-Y231</f>
        <v>0</v>
      </c>
    </row>
    <row r="233" spans="1:24" ht="21" customHeight="1">
      <c r="A233" s="502" t="s">
        <v>193</v>
      </c>
      <c r="B233" s="502"/>
      <c r="C233" s="502"/>
      <c r="D233" s="502"/>
      <c r="E233" s="502"/>
      <c r="F233" s="502"/>
      <c r="G233" s="502"/>
      <c r="H233" s="502"/>
      <c r="I233" s="502"/>
      <c r="J233" s="502"/>
      <c r="K233" s="502"/>
      <c r="L233" s="502"/>
      <c r="M233" s="502"/>
      <c r="N233" s="502"/>
      <c r="O233" s="504" t="s">
        <v>193</v>
      </c>
      <c r="P233" s="504"/>
      <c r="Q233" s="504"/>
      <c r="R233" s="504"/>
      <c r="S233" s="504"/>
      <c r="T233" s="504"/>
      <c r="U233" s="504"/>
      <c r="V233" s="504"/>
      <c r="W233" s="504"/>
      <c r="X233" s="504"/>
    </row>
    <row r="234" spans="1:24" ht="21" customHeight="1">
      <c r="A234" s="505" t="s">
        <v>523</v>
      </c>
      <c r="B234" s="505"/>
      <c r="C234" s="505"/>
      <c r="D234" s="505"/>
      <c r="E234" s="505"/>
      <c r="F234" s="505"/>
      <c r="G234" s="505"/>
      <c r="H234" s="505"/>
      <c r="I234" s="505"/>
      <c r="J234" s="505"/>
      <c r="K234" s="505"/>
      <c r="L234" s="505"/>
      <c r="M234" s="505"/>
      <c r="N234" s="505"/>
      <c r="O234" s="506" t="s">
        <v>523</v>
      </c>
      <c r="P234" s="506"/>
      <c r="Q234" s="506"/>
      <c r="R234" s="506"/>
      <c r="S234" s="506"/>
      <c r="T234" s="506"/>
      <c r="U234" s="506"/>
      <c r="V234" s="506"/>
      <c r="W234" s="506"/>
      <c r="X234" s="506"/>
    </row>
    <row r="235" spans="1:24" ht="21" customHeight="1">
      <c r="A235" s="497" t="s">
        <v>194</v>
      </c>
      <c r="B235" s="497"/>
      <c r="C235" s="496" t="s">
        <v>196</v>
      </c>
      <c r="D235" s="496"/>
      <c r="E235" s="499" t="s">
        <v>199</v>
      </c>
      <c r="F235" s="500"/>
      <c r="G235" s="496" t="s">
        <v>201</v>
      </c>
      <c r="H235" s="497"/>
      <c r="I235" s="499" t="s">
        <v>215</v>
      </c>
      <c r="J235" s="500"/>
      <c r="K235" s="335" t="s">
        <v>216</v>
      </c>
      <c r="L235" s="499" t="s">
        <v>217</v>
      </c>
      <c r="M235" s="501"/>
      <c r="N235" s="500"/>
      <c r="O235" s="499" t="s">
        <v>218</v>
      </c>
      <c r="P235" s="500"/>
      <c r="Q235" s="499" t="s">
        <v>219</v>
      </c>
      <c r="R235" s="501"/>
      <c r="S235" s="500"/>
      <c r="T235" s="496" t="s">
        <v>220</v>
      </c>
      <c r="U235" s="497"/>
      <c r="V235" s="335" t="s">
        <v>284</v>
      </c>
      <c r="W235" s="335" t="s">
        <v>221</v>
      </c>
      <c r="X235" s="498" t="s">
        <v>17</v>
      </c>
    </row>
    <row r="236" spans="1:24" ht="21" customHeight="1">
      <c r="A236" s="497" t="s">
        <v>195</v>
      </c>
      <c r="B236" s="497"/>
      <c r="C236" s="335" t="s">
        <v>197</v>
      </c>
      <c r="D236" s="335" t="s">
        <v>198</v>
      </c>
      <c r="E236" s="335" t="s">
        <v>200</v>
      </c>
      <c r="F236" s="335" t="s">
        <v>288</v>
      </c>
      <c r="G236" s="335" t="s">
        <v>202</v>
      </c>
      <c r="H236" s="335" t="s">
        <v>203</v>
      </c>
      <c r="I236" s="335" t="s">
        <v>204</v>
      </c>
      <c r="J236" s="335" t="s">
        <v>205</v>
      </c>
      <c r="K236" s="335" t="s">
        <v>206</v>
      </c>
      <c r="L236" s="335" t="s">
        <v>207</v>
      </c>
      <c r="M236" s="335" t="s">
        <v>208</v>
      </c>
      <c r="N236" s="335" t="s">
        <v>334</v>
      </c>
      <c r="O236" s="334" t="s">
        <v>471</v>
      </c>
      <c r="P236" s="334" t="s">
        <v>209</v>
      </c>
      <c r="Q236" s="335" t="s">
        <v>210</v>
      </c>
      <c r="R236" s="335" t="s">
        <v>211</v>
      </c>
      <c r="S236" s="335" t="s">
        <v>290</v>
      </c>
      <c r="T236" s="335" t="s">
        <v>212</v>
      </c>
      <c r="U236" s="335" t="s">
        <v>213</v>
      </c>
      <c r="V236" s="335" t="s">
        <v>285</v>
      </c>
      <c r="W236" s="335" t="s">
        <v>214</v>
      </c>
      <c r="X236" s="498"/>
    </row>
    <row r="237" spans="1:24" ht="21" customHeight="1">
      <c r="A237" s="488" t="s">
        <v>268</v>
      </c>
      <c r="B237" s="489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91"/>
      <c r="P237" s="191"/>
      <c r="Q237" s="107"/>
      <c r="R237" s="107"/>
      <c r="S237" s="107"/>
      <c r="T237" s="107"/>
      <c r="U237" s="107"/>
      <c r="V237" s="107"/>
      <c r="W237" s="107"/>
      <c r="X237" s="107"/>
    </row>
    <row r="238" spans="1:24" ht="21" customHeight="1">
      <c r="A238" s="108">
        <v>110300</v>
      </c>
      <c r="B238" s="109" t="s">
        <v>222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192"/>
      <c r="P238" s="192"/>
      <c r="Q238" s="76"/>
      <c r="R238" s="76"/>
      <c r="S238" s="76"/>
      <c r="T238" s="76"/>
      <c r="U238" s="76"/>
      <c r="V238" s="76"/>
      <c r="W238" s="76">
        <f>8694+113</f>
        <v>8807</v>
      </c>
      <c r="X238" s="110">
        <f>SUM(C238:W238)</f>
        <v>8807</v>
      </c>
    </row>
    <row r="239" spans="1:24" ht="21" customHeight="1">
      <c r="A239" s="108">
        <v>110700</v>
      </c>
      <c r="B239" s="109" t="s">
        <v>123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192"/>
      <c r="P239" s="192"/>
      <c r="Q239" s="76"/>
      <c r="R239" s="76"/>
      <c r="S239" s="76"/>
      <c r="T239" s="76"/>
      <c r="U239" s="76"/>
      <c r="V239" s="76"/>
      <c r="W239" s="76"/>
      <c r="X239" s="110">
        <f aca="true" t="shared" si="63" ref="X239:X244">SUM(C239:W239)</f>
        <v>0</v>
      </c>
    </row>
    <row r="240" spans="1:24" ht="21" customHeight="1">
      <c r="A240" s="108">
        <v>110800</v>
      </c>
      <c r="B240" s="109" t="s">
        <v>129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192"/>
      <c r="P240" s="192"/>
      <c r="Q240" s="76"/>
      <c r="R240" s="76"/>
      <c r="S240" s="76"/>
      <c r="T240" s="76"/>
      <c r="U240" s="76"/>
      <c r="V240" s="76"/>
      <c r="W240" s="76"/>
      <c r="X240" s="110">
        <f t="shared" si="63"/>
        <v>0</v>
      </c>
    </row>
    <row r="241" spans="1:24" ht="21" customHeight="1">
      <c r="A241" s="108">
        <v>110900</v>
      </c>
      <c r="B241" s="109" t="s">
        <v>130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192"/>
      <c r="P241" s="192"/>
      <c r="Q241" s="76"/>
      <c r="R241" s="76"/>
      <c r="S241" s="76"/>
      <c r="T241" s="76"/>
      <c r="U241" s="76"/>
      <c r="V241" s="76"/>
      <c r="W241" s="76">
        <v>8000</v>
      </c>
      <c r="X241" s="110">
        <f t="shared" si="63"/>
        <v>8000</v>
      </c>
    </row>
    <row r="242" spans="1:24" ht="21" customHeight="1">
      <c r="A242" s="108">
        <v>111000</v>
      </c>
      <c r="B242" s="109" t="s">
        <v>131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192"/>
      <c r="P242" s="192"/>
      <c r="Q242" s="76"/>
      <c r="R242" s="76"/>
      <c r="S242" s="76"/>
      <c r="T242" s="76"/>
      <c r="U242" s="76"/>
      <c r="V242" s="76"/>
      <c r="W242" s="76">
        <v>28300</v>
      </c>
      <c r="X242" s="110">
        <f t="shared" si="63"/>
        <v>28300</v>
      </c>
    </row>
    <row r="243" spans="1:24" ht="21" customHeight="1">
      <c r="A243" s="108">
        <v>111100</v>
      </c>
      <c r="B243" s="109" t="s">
        <v>224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192"/>
      <c r="P243" s="192"/>
      <c r="Q243" s="76"/>
      <c r="R243" s="76"/>
      <c r="S243" s="76"/>
      <c r="T243" s="76"/>
      <c r="U243" s="76"/>
      <c r="V243" s="76"/>
      <c r="W243" s="76"/>
      <c r="X243" s="110">
        <f t="shared" si="63"/>
        <v>0</v>
      </c>
    </row>
    <row r="244" spans="1:24" ht="21" customHeight="1">
      <c r="A244" s="108">
        <v>111100</v>
      </c>
      <c r="B244" s="109" t="s">
        <v>451</v>
      </c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192"/>
      <c r="P244" s="192"/>
      <c r="Q244" s="76"/>
      <c r="R244" s="76"/>
      <c r="S244" s="76"/>
      <c r="T244" s="76"/>
      <c r="U244" s="76"/>
      <c r="V244" s="76"/>
      <c r="W244" s="76"/>
      <c r="X244" s="110">
        <f t="shared" si="63"/>
        <v>0</v>
      </c>
    </row>
    <row r="245" spans="1:24" ht="21" customHeight="1">
      <c r="A245" s="111">
        <v>120100</v>
      </c>
      <c r="B245" s="112" t="s">
        <v>223</v>
      </c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193"/>
      <c r="P245" s="193"/>
      <c r="Q245" s="87"/>
      <c r="R245" s="87"/>
      <c r="S245" s="87"/>
      <c r="T245" s="87"/>
      <c r="U245" s="87"/>
      <c r="V245" s="87"/>
      <c r="W245" s="87"/>
      <c r="X245" s="113">
        <f>SUM(C245:W245)</f>
        <v>0</v>
      </c>
    </row>
    <row r="246" spans="1:24" ht="21" customHeight="1">
      <c r="A246" s="490" t="s">
        <v>230</v>
      </c>
      <c r="B246" s="491"/>
      <c r="C246" s="110">
        <f>SUM(C238:C245)</f>
        <v>0</v>
      </c>
      <c r="D246" s="110">
        <f aca="true" t="shared" si="64" ref="D246:L246">SUM(D238:D245)</f>
        <v>0</v>
      </c>
      <c r="E246" s="110">
        <f t="shared" si="64"/>
        <v>0</v>
      </c>
      <c r="F246" s="110">
        <f t="shared" si="64"/>
        <v>0</v>
      </c>
      <c r="G246" s="110">
        <f t="shared" si="64"/>
        <v>0</v>
      </c>
      <c r="H246" s="110">
        <f t="shared" si="64"/>
        <v>0</v>
      </c>
      <c r="I246" s="110">
        <f t="shared" si="64"/>
        <v>0</v>
      </c>
      <c r="J246" s="110">
        <f t="shared" si="64"/>
        <v>0</v>
      </c>
      <c r="K246" s="110">
        <f t="shared" si="64"/>
        <v>0</v>
      </c>
      <c r="L246" s="110">
        <f t="shared" si="64"/>
        <v>0</v>
      </c>
      <c r="M246" s="110">
        <f>SUM(M238:M245)</f>
        <v>0</v>
      </c>
      <c r="N246" s="110">
        <f>SUM(N238:N245)</f>
        <v>0</v>
      </c>
      <c r="O246" s="110">
        <f>SUM(O238:O245)</f>
        <v>0</v>
      </c>
      <c r="P246" s="110">
        <f>SUM(P238:P245)</f>
        <v>0</v>
      </c>
      <c r="Q246" s="110">
        <f>SUM(Q238:Q245)</f>
        <v>0</v>
      </c>
      <c r="R246" s="110">
        <f>SUM(R238:R245)</f>
        <v>0</v>
      </c>
      <c r="S246" s="110"/>
      <c r="T246" s="110">
        <f>SUM(T238:T245)</f>
        <v>0</v>
      </c>
      <c r="U246" s="110">
        <f>SUM(U238:U245)</f>
        <v>0</v>
      </c>
      <c r="V246" s="110">
        <f>SUM(V238:V245)</f>
        <v>0</v>
      </c>
      <c r="W246" s="110">
        <f>SUM(W238:W245)</f>
        <v>45107</v>
      </c>
      <c r="X246" s="110">
        <f>SUM(C246:W246)</f>
        <v>45107</v>
      </c>
    </row>
    <row r="247" spans="1:24" ht="21" customHeight="1">
      <c r="A247" s="492" t="s">
        <v>231</v>
      </c>
      <c r="B247" s="493"/>
      <c r="C247" s="114">
        <f>+C246+C131</f>
        <v>0</v>
      </c>
      <c r="D247" s="114">
        <f aca="true" t="shared" si="65" ref="D247:X247">+D246+D131</f>
        <v>0</v>
      </c>
      <c r="E247" s="114">
        <f t="shared" si="65"/>
        <v>0</v>
      </c>
      <c r="F247" s="114">
        <f t="shared" si="65"/>
        <v>0</v>
      </c>
      <c r="G247" s="114">
        <f t="shared" si="65"/>
        <v>0</v>
      </c>
      <c r="H247" s="114">
        <f t="shared" si="65"/>
        <v>0</v>
      </c>
      <c r="I247" s="114">
        <f t="shared" si="65"/>
        <v>0</v>
      </c>
      <c r="J247" s="114">
        <f t="shared" si="65"/>
        <v>0</v>
      </c>
      <c r="K247" s="114">
        <f t="shared" si="65"/>
        <v>0</v>
      </c>
      <c r="L247" s="114">
        <f t="shared" si="65"/>
        <v>0</v>
      </c>
      <c r="M247" s="114">
        <f t="shared" si="65"/>
        <v>0</v>
      </c>
      <c r="N247" s="114">
        <f t="shared" si="65"/>
        <v>0</v>
      </c>
      <c r="O247" s="114">
        <f t="shared" si="65"/>
        <v>0</v>
      </c>
      <c r="P247" s="114">
        <f t="shared" si="65"/>
        <v>0</v>
      </c>
      <c r="Q247" s="114">
        <f t="shared" si="65"/>
        <v>0</v>
      </c>
      <c r="R247" s="114">
        <f t="shared" si="65"/>
        <v>0</v>
      </c>
      <c r="S247" s="114">
        <f t="shared" si="65"/>
        <v>0</v>
      </c>
      <c r="T247" s="114">
        <f t="shared" si="65"/>
        <v>0</v>
      </c>
      <c r="U247" s="114">
        <f t="shared" si="65"/>
        <v>0</v>
      </c>
      <c r="V247" s="114">
        <f t="shared" si="65"/>
        <v>0</v>
      </c>
      <c r="W247" s="114">
        <f t="shared" si="65"/>
        <v>78491</v>
      </c>
      <c r="X247" s="114">
        <f t="shared" si="65"/>
        <v>78491</v>
      </c>
    </row>
    <row r="248" spans="1:24" ht="21" customHeight="1">
      <c r="A248" s="488" t="s">
        <v>269</v>
      </c>
      <c r="B248" s="489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95"/>
      <c r="P248" s="195"/>
      <c r="Q248" s="115"/>
      <c r="R248" s="115"/>
      <c r="S248" s="115"/>
      <c r="T248" s="115"/>
      <c r="U248" s="115"/>
      <c r="V248" s="115"/>
      <c r="W248" s="115"/>
      <c r="X248" s="116">
        <f aca="true" t="shared" si="66" ref="X248:X253">SUM(C248:W248)</f>
        <v>0</v>
      </c>
    </row>
    <row r="249" spans="1:24" ht="21" customHeight="1">
      <c r="A249" s="108">
        <v>210100</v>
      </c>
      <c r="B249" s="73" t="s">
        <v>225</v>
      </c>
      <c r="C249" s="76">
        <v>57960</v>
      </c>
      <c r="D249" s="76">
        <v>0</v>
      </c>
      <c r="E249" s="76"/>
      <c r="F249" s="76"/>
      <c r="G249" s="76"/>
      <c r="H249" s="76"/>
      <c r="I249" s="76"/>
      <c r="J249" s="76"/>
      <c r="K249" s="76"/>
      <c r="L249" s="76">
        <v>0</v>
      </c>
      <c r="M249" s="76"/>
      <c r="N249" s="76"/>
      <c r="O249" s="192"/>
      <c r="P249" s="192"/>
      <c r="Q249" s="76"/>
      <c r="R249" s="76"/>
      <c r="S249" s="76"/>
      <c r="T249" s="76"/>
      <c r="U249" s="76"/>
      <c r="V249" s="76"/>
      <c r="W249" s="76"/>
      <c r="X249" s="110">
        <f t="shared" si="66"/>
        <v>57960</v>
      </c>
    </row>
    <row r="250" spans="1:24" ht="21" customHeight="1">
      <c r="A250" s="108">
        <v>210200</v>
      </c>
      <c r="B250" s="73" t="s">
        <v>229</v>
      </c>
      <c r="C250" s="76">
        <v>10000</v>
      </c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192"/>
      <c r="P250" s="192"/>
      <c r="Q250" s="76"/>
      <c r="R250" s="76"/>
      <c r="S250" s="76"/>
      <c r="T250" s="76"/>
      <c r="U250" s="76"/>
      <c r="V250" s="76"/>
      <c r="W250" s="76"/>
      <c r="X250" s="110">
        <f t="shared" si="66"/>
        <v>10000</v>
      </c>
    </row>
    <row r="251" spans="1:24" ht="21" customHeight="1">
      <c r="A251" s="108">
        <v>210300</v>
      </c>
      <c r="B251" s="73" t="s">
        <v>226</v>
      </c>
      <c r="C251" s="76">
        <v>10000</v>
      </c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192"/>
      <c r="P251" s="192"/>
      <c r="Q251" s="76"/>
      <c r="R251" s="76"/>
      <c r="S251" s="76"/>
      <c r="T251" s="76"/>
      <c r="U251" s="76"/>
      <c r="V251" s="76"/>
      <c r="W251" s="76"/>
      <c r="X251" s="110">
        <f t="shared" si="66"/>
        <v>10000</v>
      </c>
    </row>
    <row r="252" spans="1:24" ht="21" customHeight="1">
      <c r="A252" s="108">
        <v>210400</v>
      </c>
      <c r="B252" s="73" t="s">
        <v>227</v>
      </c>
      <c r="C252" s="76">
        <v>16560</v>
      </c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192"/>
      <c r="P252" s="192"/>
      <c r="Q252" s="76"/>
      <c r="R252" s="76"/>
      <c r="S252" s="76"/>
      <c r="T252" s="76"/>
      <c r="U252" s="76"/>
      <c r="V252" s="76"/>
      <c r="W252" s="76"/>
      <c r="X252" s="110">
        <f t="shared" si="66"/>
        <v>16560</v>
      </c>
    </row>
    <row r="253" spans="1:24" ht="21" customHeight="1">
      <c r="A253" s="111">
        <v>210600</v>
      </c>
      <c r="B253" s="74" t="s">
        <v>228</v>
      </c>
      <c r="C253" s="76">
        <v>124200</v>
      </c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193"/>
      <c r="P253" s="193"/>
      <c r="Q253" s="87"/>
      <c r="R253" s="87"/>
      <c r="S253" s="87"/>
      <c r="T253" s="87"/>
      <c r="U253" s="87"/>
      <c r="V253" s="87"/>
      <c r="W253" s="87"/>
      <c r="X253" s="113">
        <f t="shared" si="66"/>
        <v>124200</v>
      </c>
    </row>
    <row r="254" spans="1:24" ht="21" customHeight="1">
      <c r="A254" s="490" t="s">
        <v>230</v>
      </c>
      <c r="B254" s="491"/>
      <c r="C254" s="110">
        <f>SUM(C249:C253)</f>
        <v>218720</v>
      </c>
      <c r="D254" s="110">
        <f>SUM(D248:D253)</f>
        <v>0</v>
      </c>
      <c r="E254" s="110">
        <f>SUM(E248:E253)</f>
        <v>0</v>
      </c>
      <c r="F254" s="110">
        <f aca="true" t="shared" si="67" ref="F254:L254">SUM(F248:F253)</f>
        <v>0</v>
      </c>
      <c r="G254" s="110">
        <f t="shared" si="67"/>
        <v>0</v>
      </c>
      <c r="H254" s="110">
        <f t="shared" si="67"/>
        <v>0</v>
      </c>
      <c r="I254" s="110">
        <f t="shared" si="67"/>
        <v>0</v>
      </c>
      <c r="J254" s="110">
        <f t="shared" si="67"/>
        <v>0</v>
      </c>
      <c r="K254" s="110">
        <f t="shared" si="67"/>
        <v>0</v>
      </c>
      <c r="L254" s="110">
        <f t="shared" si="67"/>
        <v>0</v>
      </c>
      <c r="M254" s="110">
        <f>SUM(M248:M253)</f>
        <v>0</v>
      </c>
      <c r="N254" s="110">
        <f>SUM(N248:N253)</f>
        <v>0</v>
      </c>
      <c r="O254" s="110">
        <f>SUM(O248:O253)</f>
        <v>0</v>
      </c>
      <c r="P254" s="110">
        <f>SUM(P248:P253)</f>
        <v>0</v>
      </c>
      <c r="Q254" s="110">
        <f>SUM(Q248:Q253)</f>
        <v>0</v>
      </c>
      <c r="R254" s="110">
        <f>SUM(R248:R253)</f>
        <v>0</v>
      </c>
      <c r="S254" s="110"/>
      <c r="T254" s="110">
        <f>SUM(T248:T253)</f>
        <v>0</v>
      </c>
      <c r="U254" s="110">
        <f>SUM(U248:U253)</f>
        <v>0</v>
      </c>
      <c r="V254" s="110">
        <f>SUM(V248:V253)</f>
        <v>0</v>
      </c>
      <c r="W254" s="110">
        <f>SUM(W248:W253)</f>
        <v>0</v>
      </c>
      <c r="X254" s="110">
        <f>SUM(C254:W254)</f>
        <v>218720</v>
      </c>
    </row>
    <row r="255" spans="1:24" ht="21" customHeight="1">
      <c r="A255" s="492" t="s">
        <v>231</v>
      </c>
      <c r="B255" s="493"/>
      <c r="C255" s="110">
        <f>+C254+C139</f>
        <v>651174</v>
      </c>
      <c r="D255" s="110">
        <f aca="true" t="shared" si="68" ref="D255:X255">+D254+D139</f>
        <v>0</v>
      </c>
      <c r="E255" s="110">
        <f t="shared" si="68"/>
        <v>0</v>
      </c>
      <c r="F255" s="110">
        <f t="shared" si="68"/>
        <v>0</v>
      </c>
      <c r="G255" s="110">
        <f t="shared" si="68"/>
        <v>0</v>
      </c>
      <c r="H255" s="110">
        <f t="shared" si="68"/>
        <v>0</v>
      </c>
      <c r="I255" s="110">
        <f t="shared" si="68"/>
        <v>0</v>
      </c>
      <c r="J255" s="110">
        <f t="shared" si="68"/>
        <v>0</v>
      </c>
      <c r="K255" s="110">
        <f t="shared" si="68"/>
        <v>0</v>
      </c>
      <c r="L255" s="110">
        <f t="shared" si="68"/>
        <v>0</v>
      </c>
      <c r="M255" s="110">
        <f t="shared" si="68"/>
        <v>0</v>
      </c>
      <c r="N255" s="110">
        <f t="shared" si="68"/>
        <v>0</v>
      </c>
      <c r="O255" s="110">
        <f t="shared" si="68"/>
        <v>0</v>
      </c>
      <c r="P255" s="110">
        <f t="shared" si="68"/>
        <v>0</v>
      </c>
      <c r="Q255" s="110">
        <f t="shared" si="68"/>
        <v>0</v>
      </c>
      <c r="R255" s="110">
        <f t="shared" si="68"/>
        <v>0</v>
      </c>
      <c r="S255" s="110">
        <f t="shared" si="68"/>
        <v>0</v>
      </c>
      <c r="T255" s="110">
        <f t="shared" si="68"/>
        <v>0</v>
      </c>
      <c r="U255" s="110">
        <f t="shared" si="68"/>
        <v>0</v>
      </c>
      <c r="V255" s="110">
        <f t="shared" si="68"/>
        <v>0</v>
      </c>
      <c r="W255" s="110">
        <f t="shared" si="68"/>
        <v>0</v>
      </c>
      <c r="X255" s="110">
        <f t="shared" si="68"/>
        <v>651174</v>
      </c>
    </row>
    <row r="256" spans="1:24" ht="21" customHeight="1">
      <c r="A256" s="488" t="s">
        <v>270</v>
      </c>
      <c r="B256" s="489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95"/>
      <c r="P256" s="195"/>
      <c r="Q256" s="115"/>
      <c r="R256" s="115"/>
      <c r="S256" s="115"/>
      <c r="T256" s="115"/>
      <c r="U256" s="115"/>
      <c r="V256" s="115"/>
      <c r="W256" s="115"/>
      <c r="X256" s="116">
        <f>SUM(C256:W256)</f>
        <v>0</v>
      </c>
    </row>
    <row r="257" spans="1:24" ht="21" customHeight="1">
      <c r="A257" s="108">
        <v>220100</v>
      </c>
      <c r="B257" s="73" t="s">
        <v>232</v>
      </c>
      <c r="C257" s="76">
        <v>195764</v>
      </c>
      <c r="D257" s="76">
        <v>74493.23</v>
      </c>
      <c r="E257" s="76">
        <v>20770</v>
      </c>
      <c r="F257" s="76">
        <v>0</v>
      </c>
      <c r="G257" s="76"/>
      <c r="H257" s="76"/>
      <c r="I257" s="76"/>
      <c r="J257" s="76"/>
      <c r="K257" s="76"/>
      <c r="L257" s="76">
        <v>46530</v>
      </c>
      <c r="M257" s="76"/>
      <c r="N257" s="76"/>
      <c r="O257" s="192">
        <v>16960</v>
      </c>
      <c r="P257" s="192"/>
      <c r="Q257" s="76"/>
      <c r="R257" s="76"/>
      <c r="S257" s="76"/>
      <c r="T257" s="76"/>
      <c r="U257" s="76"/>
      <c r="V257" s="76"/>
      <c r="W257" s="76"/>
      <c r="X257" s="110">
        <f>SUM(C257:W257)</f>
        <v>354517.23</v>
      </c>
    </row>
    <row r="258" spans="1:24" ht="21" customHeight="1">
      <c r="A258" s="108">
        <v>220200</v>
      </c>
      <c r="B258" s="73" t="s">
        <v>233</v>
      </c>
      <c r="C258" s="76">
        <v>5600</v>
      </c>
      <c r="D258" s="76">
        <v>655</v>
      </c>
      <c r="E258" s="76"/>
      <c r="F258" s="76"/>
      <c r="G258" s="76"/>
      <c r="H258" s="76"/>
      <c r="I258" s="76"/>
      <c r="J258" s="76"/>
      <c r="K258" s="76"/>
      <c r="L258" s="76">
        <v>0</v>
      </c>
      <c r="M258" s="76"/>
      <c r="N258" s="76"/>
      <c r="O258" s="192"/>
      <c r="P258" s="192"/>
      <c r="Q258" s="76"/>
      <c r="R258" s="76"/>
      <c r="S258" s="76"/>
      <c r="T258" s="76"/>
      <c r="U258" s="76"/>
      <c r="V258" s="76"/>
      <c r="W258" s="76"/>
      <c r="X258" s="110">
        <f>SUM(C258:W258)</f>
        <v>6255</v>
      </c>
    </row>
    <row r="259" spans="1:24" ht="21" customHeight="1">
      <c r="A259" s="108">
        <v>220300</v>
      </c>
      <c r="B259" s="73" t="s">
        <v>234</v>
      </c>
      <c r="C259" s="76">
        <v>9100</v>
      </c>
      <c r="D259" s="76">
        <v>0</v>
      </c>
      <c r="E259" s="76"/>
      <c r="F259" s="76"/>
      <c r="G259" s="76"/>
      <c r="H259" s="76"/>
      <c r="I259" s="76"/>
      <c r="J259" s="76"/>
      <c r="K259" s="76"/>
      <c r="L259" s="76">
        <v>0</v>
      </c>
      <c r="M259" s="76"/>
      <c r="N259" s="76"/>
      <c r="O259" s="192"/>
      <c r="P259" s="192"/>
      <c r="Q259" s="76"/>
      <c r="R259" s="76"/>
      <c r="S259" s="76"/>
      <c r="T259" s="76"/>
      <c r="U259" s="76"/>
      <c r="V259" s="76"/>
      <c r="W259" s="76"/>
      <c r="X259" s="110">
        <f>SUM(C259:W259)</f>
        <v>9100</v>
      </c>
    </row>
    <row r="260" spans="1:24" ht="21" customHeight="1">
      <c r="A260" s="108">
        <v>220400</v>
      </c>
      <c r="B260" s="73" t="s">
        <v>3</v>
      </c>
      <c r="C260" s="76"/>
      <c r="D260" s="76">
        <v>30960</v>
      </c>
      <c r="E260" s="76"/>
      <c r="F260" s="76"/>
      <c r="G260" s="76"/>
      <c r="H260" s="76"/>
      <c r="I260" s="76"/>
      <c r="J260" s="76"/>
      <c r="K260" s="76"/>
      <c r="L260" s="76">
        <v>0</v>
      </c>
      <c r="M260" s="76"/>
      <c r="N260" s="76"/>
      <c r="O260" s="192"/>
      <c r="P260" s="192"/>
      <c r="Q260" s="76"/>
      <c r="R260" s="76"/>
      <c r="S260" s="76"/>
      <c r="T260" s="76"/>
      <c r="U260" s="76"/>
      <c r="V260" s="76"/>
      <c r="W260" s="76"/>
      <c r="X260" s="110">
        <f>SUM(C260:W260)</f>
        <v>30960</v>
      </c>
    </row>
    <row r="261" spans="1:24" ht="21" customHeight="1">
      <c r="A261" s="108">
        <v>220500</v>
      </c>
      <c r="B261" s="73" t="s">
        <v>235</v>
      </c>
      <c r="C261" s="76"/>
      <c r="D261" s="76">
        <v>0</v>
      </c>
      <c r="E261" s="76"/>
      <c r="F261" s="76"/>
      <c r="G261" s="76"/>
      <c r="H261" s="76"/>
      <c r="I261" s="76"/>
      <c r="J261" s="76"/>
      <c r="K261" s="76"/>
      <c r="L261" s="76">
        <v>0</v>
      </c>
      <c r="M261" s="76"/>
      <c r="N261" s="76"/>
      <c r="O261" s="192"/>
      <c r="P261" s="192"/>
      <c r="Q261" s="76"/>
      <c r="R261" s="76"/>
      <c r="S261" s="76"/>
      <c r="T261" s="76"/>
      <c r="U261" s="76"/>
      <c r="V261" s="76"/>
      <c r="W261" s="76"/>
      <c r="X261" s="110">
        <f>SUM(C261:W261)</f>
        <v>0</v>
      </c>
    </row>
    <row r="262" spans="1:24" ht="21" customHeight="1">
      <c r="A262" s="497" t="s">
        <v>194</v>
      </c>
      <c r="B262" s="497"/>
      <c r="C262" s="496" t="s">
        <v>196</v>
      </c>
      <c r="D262" s="496"/>
      <c r="E262" s="499" t="s">
        <v>199</v>
      </c>
      <c r="F262" s="500"/>
      <c r="G262" s="496" t="s">
        <v>201</v>
      </c>
      <c r="H262" s="497"/>
      <c r="I262" s="499" t="s">
        <v>215</v>
      </c>
      <c r="J262" s="500"/>
      <c r="K262" s="335" t="s">
        <v>216</v>
      </c>
      <c r="L262" s="499" t="s">
        <v>217</v>
      </c>
      <c r="M262" s="501"/>
      <c r="N262" s="500"/>
      <c r="O262" s="499" t="s">
        <v>218</v>
      </c>
      <c r="P262" s="500"/>
      <c r="Q262" s="499" t="s">
        <v>219</v>
      </c>
      <c r="R262" s="501"/>
      <c r="S262" s="500"/>
      <c r="T262" s="496" t="s">
        <v>220</v>
      </c>
      <c r="U262" s="497"/>
      <c r="V262" s="335" t="s">
        <v>284</v>
      </c>
      <c r="W262" s="335" t="s">
        <v>221</v>
      </c>
      <c r="X262" s="498" t="s">
        <v>17</v>
      </c>
    </row>
    <row r="263" spans="1:24" ht="21" customHeight="1">
      <c r="A263" s="497" t="s">
        <v>195</v>
      </c>
      <c r="B263" s="497"/>
      <c r="C263" s="335" t="s">
        <v>197</v>
      </c>
      <c r="D263" s="335" t="s">
        <v>198</v>
      </c>
      <c r="E263" s="335" t="s">
        <v>200</v>
      </c>
      <c r="F263" s="335" t="s">
        <v>288</v>
      </c>
      <c r="G263" s="335" t="s">
        <v>202</v>
      </c>
      <c r="H263" s="335" t="s">
        <v>203</v>
      </c>
      <c r="I263" s="335" t="s">
        <v>204</v>
      </c>
      <c r="J263" s="335" t="s">
        <v>205</v>
      </c>
      <c r="K263" s="335" t="s">
        <v>206</v>
      </c>
      <c r="L263" s="335" t="s">
        <v>207</v>
      </c>
      <c r="M263" s="335" t="s">
        <v>208</v>
      </c>
      <c r="N263" s="335" t="s">
        <v>334</v>
      </c>
      <c r="O263" s="334" t="s">
        <v>471</v>
      </c>
      <c r="P263" s="334" t="s">
        <v>209</v>
      </c>
      <c r="Q263" s="335" t="s">
        <v>210</v>
      </c>
      <c r="R263" s="335" t="s">
        <v>211</v>
      </c>
      <c r="S263" s="335" t="s">
        <v>290</v>
      </c>
      <c r="T263" s="335" t="s">
        <v>212</v>
      </c>
      <c r="U263" s="335" t="s">
        <v>213</v>
      </c>
      <c r="V263" s="335" t="s">
        <v>285</v>
      </c>
      <c r="W263" s="335" t="s">
        <v>214</v>
      </c>
      <c r="X263" s="498"/>
    </row>
    <row r="264" spans="1:24" ht="21" customHeight="1">
      <c r="A264" s="108">
        <v>220600</v>
      </c>
      <c r="B264" s="73" t="s">
        <v>236</v>
      </c>
      <c r="C264" s="76">
        <v>57060</v>
      </c>
      <c r="D264" s="76">
        <v>15000</v>
      </c>
      <c r="E264" s="76"/>
      <c r="F264" s="76"/>
      <c r="G264" s="76">
        <v>18480</v>
      </c>
      <c r="H264" s="84"/>
      <c r="I264" s="76">
        <v>25260</v>
      </c>
      <c r="J264" s="76"/>
      <c r="K264" s="76"/>
      <c r="L264" s="76">
        <v>28080</v>
      </c>
      <c r="M264" s="76"/>
      <c r="N264" s="76"/>
      <c r="O264" s="192">
        <v>25940</v>
      </c>
      <c r="P264" s="192"/>
      <c r="Q264" s="76"/>
      <c r="R264" s="76"/>
      <c r="S264" s="76"/>
      <c r="T264" s="76"/>
      <c r="U264" s="76"/>
      <c r="V264" s="76"/>
      <c r="W264" s="76"/>
      <c r="X264" s="110">
        <f>SUM(C264:W264)</f>
        <v>169820</v>
      </c>
    </row>
    <row r="265" spans="1:24" ht="21" customHeight="1">
      <c r="A265" s="111">
        <v>220700</v>
      </c>
      <c r="B265" s="74" t="s">
        <v>237</v>
      </c>
      <c r="C265" s="76">
        <v>4500</v>
      </c>
      <c r="D265" s="87">
        <v>0</v>
      </c>
      <c r="E265" s="87"/>
      <c r="F265" s="87"/>
      <c r="G265" s="145"/>
      <c r="H265" s="145"/>
      <c r="I265" s="87">
        <v>1500</v>
      </c>
      <c r="J265" s="87"/>
      <c r="K265" s="87"/>
      <c r="L265" s="76">
        <v>1500</v>
      </c>
      <c r="M265" s="87"/>
      <c r="N265" s="87"/>
      <c r="O265" s="193">
        <v>1500</v>
      </c>
      <c r="P265" s="193"/>
      <c r="Q265" s="87"/>
      <c r="R265" s="87"/>
      <c r="S265" s="87"/>
      <c r="T265" s="87"/>
      <c r="U265" s="87"/>
      <c r="V265" s="87"/>
      <c r="W265" s="87"/>
      <c r="X265" s="110">
        <f>SUM(C265:W265)</f>
        <v>9000</v>
      </c>
    </row>
    <row r="266" spans="1:25" ht="21" customHeight="1">
      <c r="A266" s="490" t="s">
        <v>230</v>
      </c>
      <c r="B266" s="491"/>
      <c r="C266" s="110">
        <f>SUM(C256:C265)</f>
        <v>272024</v>
      </c>
      <c r="D266" s="110">
        <f aca="true" t="shared" si="69" ref="D266:X266">SUM(D256:D265)</f>
        <v>121108.23</v>
      </c>
      <c r="E266" s="110">
        <f t="shared" si="69"/>
        <v>20770</v>
      </c>
      <c r="F266" s="110">
        <f t="shared" si="69"/>
        <v>0</v>
      </c>
      <c r="G266" s="110">
        <f t="shared" si="69"/>
        <v>18480</v>
      </c>
      <c r="H266" s="110">
        <f t="shared" si="69"/>
        <v>0</v>
      </c>
      <c r="I266" s="110">
        <f t="shared" si="69"/>
        <v>26760</v>
      </c>
      <c r="J266" s="110">
        <f t="shared" si="69"/>
        <v>0</v>
      </c>
      <c r="K266" s="110">
        <f t="shared" si="69"/>
        <v>0</v>
      </c>
      <c r="L266" s="110">
        <f t="shared" si="69"/>
        <v>76110</v>
      </c>
      <c r="M266" s="110">
        <f t="shared" si="69"/>
        <v>0</v>
      </c>
      <c r="N266" s="110">
        <f t="shared" si="69"/>
        <v>0</v>
      </c>
      <c r="O266" s="110">
        <f t="shared" si="69"/>
        <v>44400</v>
      </c>
      <c r="P266" s="110">
        <f t="shared" si="69"/>
        <v>0</v>
      </c>
      <c r="Q266" s="110">
        <f t="shared" si="69"/>
        <v>0</v>
      </c>
      <c r="R266" s="110">
        <f t="shared" si="69"/>
        <v>0</v>
      </c>
      <c r="S266" s="110">
        <f t="shared" si="69"/>
        <v>0</v>
      </c>
      <c r="T266" s="110">
        <f t="shared" si="69"/>
        <v>0</v>
      </c>
      <c r="U266" s="110">
        <f t="shared" si="69"/>
        <v>0</v>
      </c>
      <c r="V266" s="110">
        <f t="shared" si="69"/>
        <v>0</v>
      </c>
      <c r="W266" s="110">
        <f t="shared" si="69"/>
        <v>0</v>
      </c>
      <c r="X266" s="110">
        <f t="shared" si="69"/>
        <v>579652.23</v>
      </c>
      <c r="Y266" s="106">
        <f>369872.23+30960+178820</f>
        <v>579652.23</v>
      </c>
    </row>
    <row r="267" spans="1:24" ht="21" customHeight="1">
      <c r="A267" s="492" t="s">
        <v>231</v>
      </c>
      <c r="B267" s="493"/>
      <c r="C267" s="114">
        <f>+C266+C151</f>
        <v>801506</v>
      </c>
      <c r="D267" s="114">
        <f aca="true" t="shared" si="70" ref="D267:X267">+D266+D151</f>
        <v>342098.23</v>
      </c>
      <c r="E267" s="114">
        <f t="shared" si="70"/>
        <v>62310</v>
      </c>
      <c r="F267" s="114">
        <f t="shared" si="70"/>
        <v>0</v>
      </c>
      <c r="G267" s="114">
        <f t="shared" si="70"/>
        <v>55440</v>
      </c>
      <c r="H267" s="114">
        <f t="shared" si="70"/>
        <v>0</v>
      </c>
      <c r="I267" s="114">
        <f t="shared" si="70"/>
        <v>80280</v>
      </c>
      <c r="J267" s="114">
        <f t="shared" si="70"/>
        <v>0</v>
      </c>
      <c r="K267" s="114">
        <f t="shared" si="70"/>
        <v>0</v>
      </c>
      <c r="L267" s="114">
        <f t="shared" si="70"/>
        <v>229298</v>
      </c>
      <c r="M267" s="114">
        <f t="shared" si="70"/>
        <v>0</v>
      </c>
      <c r="N267" s="114">
        <f t="shared" si="70"/>
        <v>0</v>
      </c>
      <c r="O267" s="114">
        <f t="shared" si="70"/>
        <v>133200</v>
      </c>
      <c r="P267" s="114">
        <f t="shared" si="70"/>
        <v>0</v>
      </c>
      <c r="Q267" s="114">
        <f t="shared" si="70"/>
        <v>0</v>
      </c>
      <c r="R267" s="114">
        <f t="shared" si="70"/>
        <v>0</v>
      </c>
      <c r="S267" s="114">
        <f t="shared" si="70"/>
        <v>0</v>
      </c>
      <c r="T267" s="114">
        <f t="shared" si="70"/>
        <v>0</v>
      </c>
      <c r="U267" s="114">
        <f t="shared" si="70"/>
        <v>0</v>
      </c>
      <c r="V267" s="114">
        <f t="shared" si="70"/>
        <v>0</v>
      </c>
      <c r="W267" s="114">
        <f t="shared" si="70"/>
        <v>0</v>
      </c>
      <c r="X267" s="114">
        <f t="shared" si="70"/>
        <v>1704132.23</v>
      </c>
    </row>
    <row r="268" spans="1:24" ht="21" customHeight="1">
      <c r="A268" s="488" t="s">
        <v>271</v>
      </c>
      <c r="B268" s="489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95"/>
      <c r="P268" s="195"/>
      <c r="Q268" s="115"/>
      <c r="R268" s="115"/>
      <c r="S268" s="115"/>
      <c r="T268" s="115"/>
      <c r="U268" s="115"/>
      <c r="V268" s="115"/>
      <c r="W268" s="115"/>
      <c r="X268" s="116">
        <f aca="true" t="shared" si="71" ref="X268:X273">SUM(C268:W268)</f>
        <v>0</v>
      </c>
    </row>
    <row r="269" spans="1:24" ht="21" customHeight="1">
      <c r="A269" s="108">
        <v>310100</v>
      </c>
      <c r="B269" s="73" t="s">
        <v>238</v>
      </c>
      <c r="C269" s="76">
        <v>12100</v>
      </c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192"/>
      <c r="P269" s="192"/>
      <c r="Q269" s="76"/>
      <c r="R269" s="76"/>
      <c r="S269" s="76"/>
      <c r="T269" s="76"/>
      <c r="U269" s="76"/>
      <c r="V269" s="76"/>
      <c r="W269" s="76"/>
      <c r="X269" s="110">
        <f t="shared" si="71"/>
        <v>12100</v>
      </c>
    </row>
    <row r="270" spans="1:24" ht="21" customHeight="1">
      <c r="A270" s="108">
        <v>310200</v>
      </c>
      <c r="B270" s="73" t="s">
        <v>239</v>
      </c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192"/>
      <c r="P270" s="192"/>
      <c r="Q270" s="76"/>
      <c r="R270" s="76"/>
      <c r="S270" s="76"/>
      <c r="T270" s="76"/>
      <c r="U270" s="76"/>
      <c r="V270" s="76"/>
      <c r="W270" s="76"/>
      <c r="X270" s="110">
        <f t="shared" si="71"/>
        <v>0</v>
      </c>
    </row>
    <row r="271" spans="1:24" ht="21" customHeight="1">
      <c r="A271" s="108">
        <v>310300</v>
      </c>
      <c r="B271" s="73" t="s">
        <v>240</v>
      </c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192"/>
      <c r="P271" s="192"/>
      <c r="Q271" s="76"/>
      <c r="R271" s="76"/>
      <c r="S271" s="76"/>
      <c r="T271" s="76"/>
      <c r="U271" s="76"/>
      <c r="V271" s="76"/>
      <c r="W271" s="76"/>
      <c r="X271" s="110">
        <f t="shared" si="71"/>
        <v>0</v>
      </c>
    </row>
    <row r="272" spans="1:24" ht="21" customHeight="1">
      <c r="A272" s="108">
        <v>310400</v>
      </c>
      <c r="B272" s="73" t="s">
        <v>241</v>
      </c>
      <c r="C272" s="76">
        <v>17300</v>
      </c>
      <c r="D272" s="76">
        <v>4250</v>
      </c>
      <c r="E272" s="76"/>
      <c r="F272" s="76">
        <v>2500</v>
      </c>
      <c r="G272" s="76"/>
      <c r="H272" s="76"/>
      <c r="I272" s="76"/>
      <c r="J272" s="76"/>
      <c r="K272" s="76"/>
      <c r="L272" s="76">
        <v>4700</v>
      </c>
      <c r="M272" s="76"/>
      <c r="N272" s="76"/>
      <c r="O272" s="192">
        <v>1950</v>
      </c>
      <c r="P272" s="192"/>
      <c r="Q272" s="76"/>
      <c r="R272" s="76"/>
      <c r="S272" s="76"/>
      <c r="T272" s="76"/>
      <c r="U272" s="76"/>
      <c r="V272" s="76"/>
      <c r="W272" s="76"/>
      <c r="X272" s="110">
        <f t="shared" si="71"/>
        <v>30700</v>
      </c>
    </row>
    <row r="273" spans="1:24" ht="21" customHeight="1">
      <c r="A273" s="108">
        <v>310500</v>
      </c>
      <c r="B273" s="73" t="s">
        <v>242</v>
      </c>
      <c r="C273" s="76"/>
      <c r="D273" s="76"/>
      <c r="E273" s="76"/>
      <c r="F273" s="76"/>
      <c r="G273" s="76"/>
      <c r="H273" s="76"/>
      <c r="I273" s="76"/>
      <c r="J273" s="76"/>
      <c r="K273" s="76"/>
      <c r="L273" s="76">
        <v>1937</v>
      </c>
      <c r="M273" s="76"/>
      <c r="N273" s="76"/>
      <c r="O273" s="192">
        <v>0</v>
      </c>
      <c r="P273" s="192"/>
      <c r="Q273" s="76"/>
      <c r="R273" s="76"/>
      <c r="S273" s="76"/>
      <c r="T273" s="76"/>
      <c r="U273" s="76"/>
      <c r="V273" s="76"/>
      <c r="W273" s="76"/>
      <c r="X273" s="110">
        <f t="shared" si="71"/>
        <v>1937</v>
      </c>
    </row>
    <row r="274" spans="1:24" ht="21" customHeight="1">
      <c r="A274" s="111">
        <v>310600</v>
      </c>
      <c r="B274" s="74" t="s">
        <v>243</v>
      </c>
      <c r="C274" s="76"/>
      <c r="D274" s="76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193"/>
      <c r="P274" s="193"/>
      <c r="Q274" s="87"/>
      <c r="R274" s="87"/>
      <c r="S274" s="87"/>
      <c r="T274" s="87"/>
      <c r="U274" s="87"/>
      <c r="V274" s="87"/>
      <c r="W274" s="87"/>
      <c r="X274" s="113">
        <f>SUM(C274:W274)</f>
        <v>0</v>
      </c>
    </row>
    <row r="275" spans="1:25" ht="21" customHeight="1">
      <c r="A275" s="490" t="s">
        <v>230</v>
      </c>
      <c r="B275" s="491"/>
      <c r="C275" s="110">
        <f>SUM(C269:C274)</f>
        <v>29400</v>
      </c>
      <c r="D275" s="110">
        <f aca="true" t="shared" si="72" ref="D275:U275">SUM(D269:D274)</f>
        <v>4250</v>
      </c>
      <c r="E275" s="110">
        <f t="shared" si="72"/>
        <v>0</v>
      </c>
      <c r="F275" s="110">
        <f t="shared" si="72"/>
        <v>2500</v>
      </c>
      <c r="G275" s="110">
        <f t="shared" si="72"/>
        <v>0</v>
      </c>
      <c r="H275" s="110">
        <f t="shared" si="72"/>
        <v>0</v>
      </c>
      <c r="I275" s="110">
        <f t="shared" si="72"/>
        <v>0</v>
      </c>
      <c r="J275" s="110">
        <f t="shared" si="72"/>
        <v>0</v>
      </c>
      <c r="K275" s="110">
        <f t="shared" si="72"/>
        <v>0</v>
      </c>
      <c r="L275" s="110">
        <f t="shared" si="72"/>
        <v>6637</v>
      </c>
      <c r="M275" s="110">
        <f t="shared" si="72"/>
        <v>0</v>
      </c>
      <c r="N275" s="110">
        <f t="shared" si="72"/>
        <v>0</v>
      </c>
      <c r="O275" s="110">
        <f t="shared" si="72"/>
        <v>1950</v>
      </c>
      <c r="P275" s="110">
        <f t="shared" si="72"/>
        <v>0</v>
      </c>
      <c r="Q275" s="110">
        <f t="shared" si="72"/>
        <v>0</v>
      </c>
      <c r="R275" s="110">
        <f t="shared" si="72"/>
        <v>0</v>
      </c>
      <c r="S275" s="110">
        <f t="shared" si="72"/>
        <v>0</v>
      </c>
      <c r="T275" s="110">
        <f t="shared" si="72"/>
        <v>0</v>
      </c>
      <c r="U275" s="110">
        <f t="shared" si="72"/>
        <v>0</v>
      </c>
      <c r="V275" s="110">
        <f>SUM(V269:V274)</f>
        <v>0</v>
      </c>
      <c r="W275" s="110">
        <f>SUM(W269:W274)</f>
        <v>0</v>
      </c>
      <c r="X275" s="110">
        <f>SUM(C275:W275)</f>
        <v>44737</v>
      </c>
      <c r="Y275" s="106">
        <f>32637+12100</f>
        <v>44737</v>
      </c>
    </row>
    <row r="276" spans="1:25" ht="21" customHeight="1">
      <c r="A276" s="492" t="s">
        <v>231</v>
      </c>
      <c r="B276" s="493"/>
      <c r="C276" s="114">
        <f>+C275+C160</f>
        <v>47574</v>
      </c>
      <c r="D276" s="114">
        <f aca="true" t="shared" si="73" ref="D276:X276">+D275+D160</f>
        <v>8500</v>
      </c>
      <c r="E276" s="114">
        <f t="shared" si="73"/>
        <v>0</v>
      </c>
      <c r="F276" s="114">
        <f t="shared" si="73"/>
        <v>5000</v>
      </c>
      <c r="G276" s="114">
        <f t="shared" si="73"/>
        <v>0</v>
      </c>
      <c r="H276" s="114">
        <f t="shared" si="73"/>
        <v>0</v>
      </c>
      <c r="I276" s="114">
        <f t="shared" si="73"/>
        <v>0</v>
      </c>
      <c r="J276" s="114">
        <f t="shared" si="73"/>
        <v>0</v>
      </c>
      <c r="K276" s="114">
        <f t="shared" si="73"/>
        <v>0</v>
      </c>
      <c r="L276" s="114">
        <f t="shared" si="73"/>
        <v>11337</v>
      </c>
      <c r="M276" s="114">
        <f t="shared" si="73"/>
        <v>0</v>
      </c>
      <c r="N276" s="114">
        <f t="shared" si="73"/>
        <v>0</v>
      </c>
      <c r="O276" s="114">
        <f t="shared" si="73"/>
        <v>3900</v>
      </c>
      <c r="P276" s="114">
        <f t="shared" si="73"/>
        <v>0</v>
      </c>
      <c r="Q276" s="114">
        <f t="shared" si="73"/>
        <v>0</v>
      </c>
      <c r="R276" s="114">
        <f t="shared" si="73"/>
        <v>0</v>
      </c>
      <c r="S276" s="114">
        <f t="shared" si="73"/>
        <v>0</v>
      </c>
      <c r="T276" s="114">
        <f t="shared" si="73"/>
        <v>0</v>
      </c>
      <c r="U276" s="114">
        <f t="shared" si="73"/>
        <v>0</v>
      </c>
      <c r="V276" s="114">
        <f t="shared" si="73"/>
        <v>0</v>
      </c>
      <c r="W276" s="114">
        <f t="shared" si="73"/>
        <v>0</v>
      </c>
      <c r="X276" s="114">
        <f t="shared" si="73"/>
        <v>76311</v>
      </c>
      <c r="Y276" s="106">
        <f>+X275-Y275</f>
        <v>0</v>
      </c>
    </row>
    <row r="277" spans="1:24" ht="21" customHeight="1">
      <c r="A277" s="488" t="s">
        <v>272</v>
      </c>
      <c r="B277" s="489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95"/>
      <c r="P277" s="195"/>
      <c r="Q277" s="115"/>
      <c r="R277" s="115"/>
      <c r="S277" s="115"/>
      <c r="T277" s="115"/>
      <c r="U277" s="115"/>
      <c r="V277" s="115"/>
      <c r="W277" s="115"/>
      <c r="X277" s="116">
        <f>SUM(C277:W277)</f>
        <v>0</v>
      </c>
    </row>
    <row r="278" spans="1:24" ht="21" customHeight="1">
      <c r="A278" s="108">
        <v>320100</v>
      </c>
      <c r="B278" s="73" t="s">
        <v>244</v>
      </c>
      <c r="C278" s="76">
        <f>7000+7000+32300+4800+1700+3300</f>
        <v>56100</v>
      </c>
      <c r="D278" s="76"/>
      <c r="E278" s="76"/>
      <c r="F278" s="76"/>
      <c r="G278" s="76">
        <f>7000+4500+7000+7000</f>
        <v>25500</v>
      </c>
      <c r="H278" s="76"/>
      <c r="I278" s="76"/>
      <c r="J278" s="76">
        <f>7000+7000</f>
        <v>14000</v>
      </c>
      <c r="K278" s="76"/>
      <c r="L278" s="76"/>
      <c r="M278" s="76"/>
      <c r="N278" s="76">
        <f>7000+7000+7000+7000+10725</f>
        <v>38725</v>
      </c>
      <c r="O278" s="192"/>
      <c r="P278" s="192">
        <v>3900</v>
      </c>
      <c r="Q278" s="76"/>
      <c r="R278" s="76"/>
      <c r="S278" s="76"/>
      <c r="T278" s="76"/>
      <c r="U278" s="76"/>
      <c r="V278" s="76">
        <v>8000</v>
      </c>
      <c r="W278" s="76"/>
      <c r="X278" s="110">
        <f>SUM(C278:W278)</f>
        <v>146225</v>
      </c>
    </row>
    <row r="279" spans="1:24" ht="21" customHeight="1">
      <c r="A279" s="108">
        <v>320200</v>
      </c>
      <c r="B279" s="73" t="s">
        <v>245</v>
      </c>
      <c r="C279" s="76">
        <f>1950+7700</f>
        <v>9650</v>
      </c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192"/>
      <c r="P279" s="192"/>
      <c r="Q279" s="76"/>
      <c r="R279" s="76"/>
      <c r="S279" s="76"/>
      <c r="T279" s="76"/>
      <c r="U279" s="76"/>
      <c r="V279" s="76"/>
      <c r="W279" s="76"/>
      <c r="X279" s="110">
        <f>SUM(C279:W279)</f>
        <v>9650</v>
      </c>
    </row>
    <row r="280" spans="1:24" ht="21" customHeight="1">
      <c r="A280" s="108">
        <v>320300</v>
      </c>
      <c r="B280" s="73" t="s">
        <v>246</v>
      </c>
      <c r="C280" s="76">
        <f>3208+624</f>
        <v>3832</v>
      </c>
      <c r="D280" s="76"/>
      <c r="E280" s="76"/>
      <c r="F280" s="76">
        <f>6000+3000</f>
        <v>9000</v>
      </c>
      <c r="G280" s="76"/>
      <c r="H280" s="76"/>
      <c r="I280" s="76"/>
      <c r="J280" s="76"/>
      <c r="K280" s="76"/>
      <c r="L280" s="76"/>
      <c r="M280" s="76"/>
      <c r="N280" s="76"/>
      <c r="O280" s="192"/>
      <c r="P280" s="192">
        <f>3600+7400+17500+4000+10000+15000</f>
        <v>57500</v>
      </c>
      <c r="Q280" s="76"/>
      <c r="R280" s="76"/>
      <c r="S280" s="76"/>
      <c r="T280" s="76"/>
      <c r="U280" s="76"/>
      <c r="V280" s="76"/>
      <c r="W280" s="76"/>
      <c r="X280" s="110">
        <f>SUM(C280:W280)</f>
        <v>70332</v>
      </c>
    </row>
    <row r="281" spans="1:24" ht="21" customHeight="1">
      <c r="A281" s="111">
        <v>320400</v>
      </c>
      <c r="B281" s="74" t="s">
        <v>247</v>
      </c>
      <c r="C281" s="87">
        <v>1600</v>
      </c>
      <c r="D281" s="87"/>
      <c r="E281" s="87"/>
      <c r="F281" s="87"/>
      <c r="G281" s="87"/>
      <c r="H281" s="87"/>
      <c r="I281" s="87"/>
      <c r="J281" s="87"/>
      <c r="K281" s="87"/>
      <c r="L281" s="87">
        <f>1250+3410</f>
        <v>4660</v>
      </c>
      <c r="M281" s="87"/>
      <c r="N281" s="87"/>
      <c r="O281" s="193"/>
      <c r="P281" s="193"/>
      <c r="Q281" s="87"/>
      <c r="R281" s="87"/>
      <c r="S281" s="87"/>
      <c r="T281" s="87"/>
      <c r="U281" s="87"/>
      <c r="V281" s="87"/>
      <c r="W281" s="87"/>
      <c r="X281" s="110">
        <f>SUM(C281:W281)</f>
        <v>6260</v>
      </c>
    </row>
    <row r="282" spans="1:25" ht="21" customHeight="1">
      <c r="A282" s="490" t="s">
        <v>230</v>
      </c>
      <c r="B282" s="491"/>
      <c r="C282" s="110">
        <f>SUM(C278:C281)</f>
        <v>71182</v>
      </c>
      <c r="D282" s="110">
        <f aca="true" t="shared" si="74" ref="D282:W282">SUM(D278:D281)</f>
        <v>0</v>
      </c>
      <c r="E282" s="110">
        <f t="shared" si="74"/>
        <v>0</v>
      </c>
      <c r="F282" s="110">
        <f t="shared" si="74"/>
        <v>9000</v>
      </c>
      <c r="G282" s="110">
        <f t="shared" si="74"/>
        <v>25500</v>
      </c>
      <c r="H282" s="110">
        <f t="shared" si="74"/>
        <v>0</v>
      </c>
      <c r="I282" s="110">
        <f t="shared" si="74"/>
        <v>0</v>
      </c>
      <c r="J282" s="110">
        <f t="shared" si="74"/>
        <v>14000</v>
      </c>
      <c r="K282" s="110">
        <f t="shared" si="74"/>
        <v>0</v>
      </c>
      <c r="L282" s="110">
        <f>1250+3410</f>
        <v>4660</v>
      </c>
      <c r="M282" s="110">
        <f t="shared" si="74"/>
        <v>0</v>
      </c>
      <c r="N282" s="110">
        <f t="shared" si="74"/>
        <v>38725</v>
      </c>
      <c r="O282" s="110">
        <f t="shared" si="74"/>
        <v>0</v>
      </c>
      <c r="P282" s="110">
        <f t="shared" si="74"/>
        <v>61400</v>
      </c>
      <c r="Q282" s="110">
        <f t="shared" si="74"/>
        <v>0</v>
      </c>
      <c r="R282" s="110">
        <f t="shared" si="74"/>
        <v>0</v>
      </c>
      <c r="S282" s="110">
        <f t="shared" si="74"/>
        <v>0</v>
      </c>
      <c r="T282" s="110">
        <f t="shared" si="74"/>
        <v>0</v>
      </c>
      <c r="U282" s="110">
        <f t="shared" si="74"/>
        <v>0</v>
      </c>
      <c r="V282" s="110">
        <f t="shared" si="74"/>
        <v>8000</v>
      </c>
      <c r="W282" s="110">
        <f t="shared" si="74"/>
        <v>0</v>
      </c>
      <c r="X282" s="110">
        <f>SUM(X278:X281)</f>
        <v>232467</v>
      </c>
      <c r="Y282" s="106">
        <f>232467-X282</f>
        <v>0</v>
      </c>
    </row>
    <row r="283" spans="1:25" ht="21" customHeight="1">
      <c r="A283" s="492" t="s">
        <v>231</v>
      </c>
      <c r="B283" s="493"/>
      <c r="C283" s="114">
        <f>+C282+C167</f>
        <v>125729.11</v>
      </c>
      <c r="D283" s="114">
        <f aca="true" t="shared" si="75" ref="D283:X283">+D282+D167</f>
        <v>24508.8</v>
      </c>
      <c r="E283" s="114">
        <f t="shared" si="75"/>
        <v>0</v>
      </c>
      <c r="F283" s="114">
        <f t="shared" si="75"/>
        <v>9750</v>
      </c>
      <c r="G283" s="114">
        <f t="shared" si="75"/>
        <v>51000</v>
      </c>
      <c r="H283" s="114">
        <f t="shared" si="75"/>
        <v>210000</v>
      </c>
      <c r="I283" s="114">
        <f t="shared" si="75"/>
        <v>0</v>
      </c>
      <c r="J283" s="114">
        <f t="shared" si="75"/>
        <v>28000</v>
      </c>
      <c r="K283" s="114">
        <f t="shared" si="75"/>
        <v>0</v>
      </c>
      <c r="L283" s="114">
        <f t="shared" si="75"/>
        <v>10960</v>
      </c>
      <c r="M283" s="114">
        <f t="shared" si="75"/>
        <v>0</v>
      </c>
      <c r="N283" s="114">
        <f t="shared" si="75"/>
        <v>92103.75</v>
      </c>
      <c r="O283" s="114">
        <f t="shared" si="75"/>
        <v>0</v>
      </c>
      <c r="P283" s="114">
        <f t="shared" si="75"/>
        <v>65430</v>
      </c>
      <c r="Q283" s="114">
        <f t="shared" si="75"/>
        <v>0</v>
      </c>
      <c r="R283" s="114">
        <f t="shared" si="75"/>
        <v>5750</v>
      </c>
      <c r="S283" s="114">
        <f t="shared" si="75"/>
        <v>0</v>
      </c>
      <c r="T283" s="114">
        <f t="shared" si="75"/>
        <v>0</v>
      </c>
      <c r="U283" s="114">
        <f t="shared" si="75"/>
        <v>0</v>
      </c>
      <c r="V283" s="114">
        <f t="shared" si="75"/>
        <v>16000</v>
      </c>
      <c r="W283" s="114">
        <f t="shared" si="75"/>
        <v>0</v>
      </c>
      <c r="X283" s="114">
        <f t="shared" si="75"/>
        <v>639231.66</v>
      </c>
      <c r="Y283" s="106">
        <f>1250+3410</f>
        <v>4660</v>
      </c>
    </row>
    <row r="284" spans="1:24" ht="21" customHeight="1">
      <c r="A284" s="488" t="s">
        <v>273</v>
      </c>
      <c r="B284" s="489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95"/>
      <c r="P284" s="195"/>
      <c r="Q284" s="115"/>
      <c r="R284" s="115"/>
      <c r="S284" s="115"/>
      <c r="T284" s="115"/>
      <c r="U284" s="115"/>
      <c r="V284" s="115"/>
      <c r="W284" s="115"/>
      <c r="X284" s="116">
        <f>SUM(C284:W284)</f>
        <v>0</v>
      </c>
    </row>
    <row r="285" spans="1:24" ht="21" customHeight="1">
      <c r="A285" s="108">
        <v>330100</v>
      </c>
      <c r="B285" s="73" t="s">
        <v>248</v>
      </c>
      <c r="C285" s="76">
        <f>21768+13900+8900</f>
        <v>44568</v>
      </c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192"/>
      <c r="P285" s="192"/>
      <c r="Q285" s="76"/>
      <c r="R285" s="76"/>
      <c r="S285" s="76"/>
      <c r="T285" s="76"/>
      <c r="U285" s="76"/>
      <c r="V285" s="76"/>
      <c r="W285" s="76"/>
      <c r="X285" s="110">
        <f>SUM(C285:W285)</f>
        <v>44568</v>
      </c>
    </row>
    <row r="286" spans="1:24" ht="21" customHeight="1">
      <c r="A286" s="108">
        <v>330200</v>
      </c>
      <c r="B286" s="73" t="s">
        <v>249</v>
      </c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192"/>
      <c r="P286" s="192"/>
      <c r="Q286" s="76"/>
      <c r="R286" s="76"/>
      <c r="S286" s="76"/>
      <c r="T286" s="76"/>
      <c r="U286" s="76"/>
      <c r="V286" s="76"/>
      <c r="W286" s="76"/>
      <c r="X286" s="110">
        <f aca="true" t="shared" si="76" ref="X286:X292">SUM(C286:W286)</f>
        <v>0</v>
      </c>
    </row>
    <row r="287" spans="1:24" ht="21" customHeight="1">
      <c r="A287" s="108">
        <v>330300</v>
      </c>
      <c r="B287" s="73" t="s">
        <v>326</v>
      </c>
      <c r="C287" s="76">
        <v>2275</v>
      </c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192"/>
      <c r="P287" s="192"/>
      <c r="Q287" s="76"/>
      <c r="R287" s="76"/>
      <c r="S287" s="76"/>
      <c r="T287" s="76"/>
      <c r="U287" s="76"/>
      <c r="V287" s="76"/>
      <c r="W287" s="76"/>
      <c r="X287" s="110">
        <f t="shared" si="76"/>
        <v>2275</v>
      </c>
    </row>
    <row r="288" spans="1:24" ht="21" customHeight="1">
      <c r="A288" s="108">
        <v>330400</v>
      </c>
      <c r="B288" s="73" t="s">
        <v>274</v>
      </c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192"/>
      <c r="P288" s="192"/>
      <c r="Q288" s="76"/>
      <c r="R288" s="76"/>
      <c r="S288" s="76"/>
      <c r="T288" s="76"/>
      <c r="U288" s="76"/>
      <c r="V288" s="76"/>
      <c r="W288" s="76"/>
      <c r="X288" s="110">
        <f t="shared" si="76"/>
        <v>0</v>
      </c>
    </row>
    <row r="289" spans="1:24" ht="21" customHeight="1">
      <c r="A289" s="108">
        <v>330600</v>
      </c>
      <c r="B289" s="73" t="s">
        <v>250</v>
      </c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192"/>
      <c r="P289" s="192"/>
      <c r="Q289" s="76"/>
      <c r="R289" s="76"/>
      <c r="S289" s="76"/>
      <c r="T289" s="76"/>
      <c r="U289" s="76"/>
      <c r="V289" s="76"/>
      <c r="W289" s="76"/>
      <c r="X289" s="110">
        <f t="shared" si="76"/>
        <v>0</v>
      </c>
    </row>
    <row r="290" spans="1:24" ht="21" customHeight="1">
      <c r="A290" s="108">
        <v>330700</v>
      </c>
      <c r="B290" s="73" t="s">
        <v>494</v>
      </c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192"/>
      <c r="P290" s="192"/>
      <c r="Q290" s="76"/>
      <c r="R290" s="76"/>
      <c r="S290" s="76"/>
      <c r="T290" s="76"/>
      <c r="U290" s="76"/>
      <c r="V290" s="76"/>
      <c r="W290" s="76"/>
      <c r="X290" s="110">
        <f t="shared" si="76"/>
        <v>0</v>
      </c>
    </row>
    <row r="291" spans="1:24" ht="21" customHeight="1">
      <c r="A291" s="108">
        <v>330800</v>
      </c>
      <c r="B291" s="73" t="s">
        <v>251</v>
      </c>
      <c r="C291" s="76">
        <v>23450</v>
      </c>
      <c r="D291" s="76"/>
      <c r="E291" s="76"/>
      <c r="F291" s="76"/>
      <c r="G291" s="76"/>
      <c r="H291" s="76"/>
      <c r="I291" s="76"/>
      <c r="J291" s="76">
        <v>5500</v>
      </c>
      <c r="K291" s="76"/>
      <c r="L291" s="76"/>
      <c r="M291" s="76"/>
      <c r="N291" s="76">
        <v>25500</v>
      </c>
      <c r="O291" s="192"/>
      <c r="P291" s="192"/>
      <c r="Q291" s="76"/>
      <c r="R291" s="76"/>
      <c r="S291" s="76"/>
      <c r="T291" s="76"/>
      <c r="U291" s="76"/>
      <c r="V291" s="76"/>
      <c r="W291" s="76"/>
      <c r="X291" s="110">
        <f t="shared" si="76"/>
        <v>54450</v>
      </c>
    </row>
    <row r="292" spans="1:24" ht="21" customHeight="1">
      <c r="A292" s="108">
        <v>330900</v>
      </c>
      <c r="B292" s="73" t="s">
        <v>253</v>
      </c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192"/>
      <c r="P292" s="192"/>
      <c r="Q292" s="76"/>
      <c r="R292" s="76"/>
      <c r="S292" s="76"/>
      <c r="T292" s="76"/>
      <c r="U292" s="76"/>
      <c r="V292" s="76"/>
      <c r="W292" s="76"/>
      <c r="X292" s="110">
        <f t="shared" si="76"/>
        <v>0</v>
      </c>
    </row>
    <row r="293" spans="1:24" ht="21" customHeight="1">
      <c r="A293" s="497" t="s">
        <v>194</v>
      </c>
      <c r="B293" s="497"/>
      <c r="C293" s="496" t="s">
        <v>196</v>
      </c>
      <c r="D293" s="496"/>
      <c r="E293" s="499" t="s">
        <v>199</v>
      </c>
      <c r="F293" s="500"/>
      <c r="G293" s="496" t="s">
        <v>201</v>
      </c>
      <c r="H293" s="497"/>
      <c r="I293" s="499" t="s">
        <v>215</v>
      </c>
      <c r="J293" s="500"/>
      <c r="K293" s="335" t="s">
        <v>216</v>
      </c>
      <c r="L293" s="499" t="s">
        <v>217</v>
      </c>
      <c r="M293" s="501"/>
      <c r="N293" s="500"/>
      <c r="O293" s="499" t="s">
        <v>218</v>
      </c>
      <c r="P293" s="500"/>
      <c r="Q293" s="499" t="s">
        <v>219</v>
      </c>
      <c r="R293" s="501"/>
      <c r="S293" s="500"/>
      <c r="T293" s="496" t="s">
        <v>220</v>
      </c>
      <c r="U293" s="497"/>
      <c r="V293" s="335" t="s">
        <v>284</v>
      </c>
      <c r="W293" s="335" t="s">
        <v>221</v>
      </c>
      <c r="X293" s="498" t="s">
        <v>17</v>
      </c>
    </row>
    <row r="294" spans="1:24" ht="21" customHeight="1">
      <c r="A294" s="497" t="s">
        <v>195</v>
      </c>
      <c r="B294" s="497"/>
      <c r="C294" s="335" t="s">
        <v>197</v>
      </c>
      <c r="D294" s="335" t="s">
        <v>198</v>
      </c>
      <c r="E294" s="335" t="s">
        <v>200</v>
      </c>
      <c r="F294" s="335" t="s">
        <v>288</v>
      </c>
      <c r="G294" s="335" t="s">
        <v>202</v>
      </c>
      <c r="H294" s="335" t="s">
        <v>203</v>
      </c>
      <c r="I294" s="335" t="s">
        <v>204</v>
      </c>
      <c r="J294" s="335" t="s">
        <v>205</v>
      </c>
      <c r="K294" s="335" t="s">
        <v>206</v>
      </c>
      <c r="L294" s="335" t="s">
        <v>207</v>
      </c>
      <c r="M294" s="335" t="s">
        <v>208</v>
      </c>
      <c r="N294" s="335" t="s">
        <v>334</v>
      </c>
      <c r="O294" s="334" t="s">
        <v>471</v>
      </c>
      <c r="P294" s="334" t="s">
        <v>209</v>
      </c>
      <c r="Q294" s="335" t="s">
        <v>210</v>
      </c>
      <c r="R294" s="335" t="s">
        <v>211</v>
      </c>
      <c r="S294" s="335" t="s">
        <v>290</v>
      </c>
      <c r="T294" s="335" t="s">
        <v>212</v>
      </c>
      <c r="U294" s="335" t="s">
        <v>213</v>
      </c>
      <c r="V294" s="335" t="s">
        <v>285</v>
      </c>
      <c r="W294" s="335" t="s">
        <v>214</v>
      </c>
      <c r="X294" s="498"/>
    </row>
    <row r="295" spans="1:24" ht="21" customHeight="1">
      <c r="A295" s="300">
        <v>331000</v>
      </c>
      <c r="B295" s="303" t="s">
        <v>462</v>
      </c>
      <c r="C295" s="304"/>
      <c r="D295" s="301"/>
      <c r="E295" s="301"/>
      <c r="F295" s="301"/>
      <c r="G295" s="301"/>
      <c r="H295" s="301"/>
      <c r="I295" s="301"/>
      <c r="J295" s="301"/>
      <c r="K295" s="301"/>
      <c r="L295" s="301"/>
      <c r="M295" s="301"/>
      <c r="N295" s="301"/>
      <c r="O295" s="302"/>
      <c r="P295" s="302"/>
      <c r="Q295" s="301"/>
      <c r="R295" s="301"/>
      <c r="S295" s="301"/>
      <c r="T295" s="301"/>
      <c r="U295" s="301"/>
      <c r="V295" s="301"/>
      <c r="W295" s="301"/>
      <c r="X295" s="110">
        <f>SUM(C295:W295)</f>
        <v>0</v>
      </c>
    </row>
    <row r="296" spans="1:24" ht="21" customHeight="1">
      <c r="A296" s="108">
        <v>331200</v>
      </c>
      <c r="B296" s="73" t="s">
        <v>254</v>
      </c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192"/>
      <c r="P296" s="192"/>
      <c r="Q296" s="76"/>
      <c r="R296" s="76"/>
      <c r="S296" s="76"/>
      <c r="T296" s="76"/>
      <c r="U296" s="76"/>
      <c r="V296" s="76"/>
      <c r="W296" s="76"/>
      <c r="X296" s="110">
        <f>SUM(C296:W296)</f>
        <v>0</v>
      </c>
    </row>
    <row r="297" spans="1:24" ht="21" customHeight="1">
      <c r="A297" s="108">
        <v>331300</v>
      </c>
      <c r="B297" s="73" t="s">
        <v>255</v>
      </c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192"/>
      <c r="P297" s="192"/>
      <c r="Q297" s="76">
        <v>3850</v>
      </c>
      <c r="R297" s="76"/>
      <c r="S297" s="76"/>
      <c r="T297" s="76"/>
      <c r="U297" s="76"/>
      <c r="V297" s="76"/>
      <c r="W297" s="76"/>
      <c r="X297" s="110">
        <f>SUM(C297:W297)</f>
        <v>3850</v>
      </c>
    </row>
    <row r="298" spans="1:24" ht="21" customHeight="1">
      <c r="A298" s="108">
        <v>331400</v>
      </c>
      <c r="B298" s="73" t="s">
        <v>252</v>
      </c>
      <c r="C298" s="76">
        <f>6260+7770</f>
        <v>14030</v>
      </c>
      <c r="D298" s="76"/>
      <c r="E298" s="76"/>
      <c r="F298" s="76"/>
      <c r="G298" s="76"/>
      <c r="H298" s="76"/>
      <c r="I298" s="76"/>
      <c r="J298" s="76"/>
      <c r="K298" s="76"/>
      <c r="L298" s="76">
        <v>11880</v>
      </c>
      <c r="M298" s="76"/>
      <c r="N298" s="76"/>
      <c r="O298" s="192"/>
      <c r="P298" s="192"/>
      <c r="Q298" s="76"/>
      <c r="R298" s="76"/>
      <c r="S298" s="76"/>
      <c r="T298" s="76"/>
      <c r="U298" s="76"/>
      <c r="V298" s="76"/>
      <c r="W298" s="76"/>
      <c r="X298" s="110">
        <f>SUM(C298:W298)</f>
        <v>25910</v>
      </c>
    </row>
    <row r="299" spans="1:24" ht="21" customHeight="1">
      <c r="A299" s="108">
        <v>331500</v>
      </c>
      <c r="B299" s="73" t="s">
        <v>256</v>
      </c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192"/>
      <c r="P299" s="192"/>
      <c r="Q299" s="76"/>
      <c r="R299" s="76"/>
      <c r="S299" s="76"/>
      <c r="T299" s="76"/>
      <c r="U299" s="76"/>
      <c r="V299" s="76"/>
      <c r="W299" s="76"/>
      <c r="X299" s="110">
        <f>SUM(C299:W299)</f>
        <v>0</v>
      </c>
    </row>
    <row r="300" spans="1:24" ht="21" customHeight="1">
      <c r="A300" s="111">
        <v>331700</v>
      </c>
      <c r="B300" s="74" t="s">
        <v>257</v>
      </c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193"/>
      <c r="P300" s="193"/>
      <c r="Q300" s="87"/>
      <c r="R300" s="87"/>
      <c r="S300" s="87"/>
      <c r="T300" s="87"/>
      <c r="U300" s="87"/>
      <c r="V300" s="87"/>
      <c r="W300" s="87"/>
      <c r="X300" s="110">
        <f>SUM(C300:W300)</f>
        <v>0</v>
      </c>
    </row>
    <row r="301" spans="1:24" ht="21" customHeight="1">
      <c r="A301" s="490" t="s">
        <v>230</v>
      </c>
      <c r="B301" s="491"/>
      <c r="C301" s="110">
        <f aca="true" t="shared" si="77" ref="C301:W301">SUM(C285:C300)</f>
        <v>84323</v>
      </c>
      <c r="D301" s="110">
        <f t="shared" si="77"/>
        <v>0</v>
      </c>
      <c r="E301" s="110">
        <f t="shared" si="77"/>
        <v>0</v>
      </c>
      <c r="F301" s="110">
        <f t="shared" si="77"/>
        <v>0</v>
      </c>
      <c r="G301" s="110">
        <f t="shared" si="77"/>
        <v>0</v>
      </c>
      <c r="H301" s="110">
        <f t="shared" si="77"/>
        <v>0</v>
      </c>
      <c r="I301" s="110">
        <f t="shared" si="77"/>
        <v>0</v>
      </c>
      <c r="J301" s="110">
        <f t="shared" si="77"/>
        <v>5500</v>
      </c>
      <c r="K301" s="110">
        <f t="shared" si="77"/>
        <v>0</v>
      </c>
      <c r="L301" s="110">
        <f t="shared" si="77"/>
        <v>11880</v>
      </c>
      <c r="M301" s="110">
        <f t="shared" si="77"/>
        <v>0</v>
      </c>
      <c r="N301" s="110">
        <f t="shared" si="77"/>
        <v>25500</v>
      </c>
      <c r="O301" s="110">
        <f t="shared" si="77"/>
        <v>0</v>
      </c>
      <c r="P301" s="110">
        <f t="shared" si="77"/>
        <v>0</v>
      </c>
      <c r="Q301" s="110">
        <f t="shared" si="77"/>
        <v>3850</v>
      </c>
      <c r="R301" s="110">
        <f t="shared" si="77"/>
        <v>0</v>
      </c>
      <c r="S301" s="110">
        <f t="shared" si="77"/>
        <v>0</v>
      </c>
      <c r="T301" s="110">
        <f t="shared" si="77"/>
        <v>0</v>
      </c>
      <c r="U301" s="110">
        <f t="shared" si="77"/>
        <v>0</v>
      </c>
      <c r="V301" s="110">
        <f t="shared" si="77"/>
        <v>0</v>
      </c>
      <c r="W301" s="110">
        <f t="shared" si="77"/>
        <v>0</v>
      </c>
      <c r="X301" s="110">
        <f>SUM(X285:X300)</f>
        <v>131053</v>
      </c>
    </row>
    <row r="302" spans="1:24" ht="21" customHeight="1">
      <c r="A302" s="492" t="s">
        <v>231</v>
      </c>
      <c r="B302" s="493"/>
      <c r="C302" s="114">
        <f>+C301+C186</f>
        <v>137068</v>
      </c>
      <c r="D302" s="114">
        <f aca="true" t="shared" si="78" ref="D302:X302">+D301+D186</f>
        <v>24970</v>
      </c>
      <c r="E302" s="114">
        <f t="shared" si="78"/>
        <v>0</v>
      </c>
      <c r="F302" s="114">
        <f t="shared" si="78"/>
        <v>0</v>
      </c>
      <c r="G302" s="114">
        <f t="shared" si="78"/>
        <v>0</v>
      </c>
      <c r="H302" s="114">
        <f t="shared" si="78"/>
        <v>0</v>
      </c>
      <c r="I302" s="114">
        <f t="shared" si="78"/>
        <v>0</v>
      </c>
      <c r="J302" s="114">
        <f t="shared" si="78"/>
        <v>12000</v>
      </c>
      <c r="K302" s="114">
        <f t="shared" si="78"/>
        <v>0</v>
      </c>
      <c r="L302" s="114">
        <f t="shared" si="78"/>
        <v>11880</v>
      </c>
      <c r="M302" s="114">
        <f t="shared" si="78"/>
        <v>0</v>
      </c>
      <c r="N302" s="114">
        <f t="shared" si="78"/>
        <v>93460</v>
      </c>
      <c r="O302" s="114">
        <f t="shared" si="78"/>
        <v>0</v>
      </c>
      <c r="P302" s="114">
        <f t="shared" si="78"/>
        <v>0</v>
      </c>
      <c r="Q302" s="114">
        <f t="shared" si="78"/>
        <v>12550</v>
      </c>
      <c r="R302" s="114">
        <f t="shared" si="78"/>
        <v>0</v>
      </c>
      <c r="S302" s="114">
        <f t="shared" si="78"/>
        <v>0</v>
      </c>
      <c r="T302" s="114">
        <f t="shared" si="78"/>
        <v>0</v>
      </c>
      <c r="U302" s="114">
        <f t="shared" si="78"/>
        <v>0</v>
      </c>
      <c r="V302" s="114">
        <f t="shared" si="78"/>
        <v>0</v>
      </c>
      <c r="W302" s="114">
        <f t="shared" si="78"/>
        <v>0</v>
      </c>
      <c r="X302" s="114">
        <f t="shared" si="78"/>
        <v>291928</v>
      </c>
    </row>
    <row r="303" spans="1:24" ht="21" customHeight="1">
      <c r="A303" s="488" t="s">
        <v>275</v>
      </c>
      <c r="B303" s="489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95"/>
      <c r="P303" s="195"/>
      <c r="Q303" s="115"/>
      <c r="R303" s="115"/>
      <c r="S303" s="115"/>
      <c r="T303" s="115"/>
      <c r="U303" s="115"/>
      <c r="V303" s="115"/>
      <c r="W303" s="115"/>
      <c r="X303" s="116">
        <f>SUM(C303:W303)</f>
        <v>0</v>
      </c>
    </row>
    <row r="304" spans="1:24" ht="21" customHeight="1">
      <c r="A304" s="108">
        <v>340100</v>
      </c>
      <c r="B304" s="73" t="s">
        <v>258</v>
      </c>
      <c r="C304" s="76">
        <f>18034.92+20135.81</f>
        <v>38170.729999999996</v>
      </c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192"/>
      <c r="P304" s="192"/>
      <c r="Q304" s="76"/>
      <c r="R304" s="76"/>
      <c r="S304" s="76"/>
      <c r="T304" s="76"/>
      <c r="U304" s="76"/>
      <c r="V304" s="76">
        <f>49653.14+53191.74</f>
        <v>102844.88</v>
      </c>
      <c r="W304" s="76"/>
      <c r="X304" s="110">
        <f>SUM(C304:W304)</f>
        <v>141015.61</v>
      </c>
    </row>
    <row r="305" spans="1:24" ht="21" customHeight="1">
      <c r="A305" s="108">
        <v>340300</v>
      </c>
      <c r="B305" s="73" t="s">
        <v>259</v>
      </c>
      <c r="C305" s="76">
        <f>536.07+520.56</f>
        <v>1056.63</v>
      </c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192"/>
      <c r="P305" s="192"/>
      <c r="Q305" s="76"/>
      <c r="R305" s="76"/>
      <c r="S305" s="76"/>
      <c r="T305" s="76"/>
      <c r="U305" s="76"/>
      <c r="V305" s="76"/>
      <c r="W305" s="76"/>
      <c r="X305" s="110">
        <f>SUM(C305:W305)</f>
        <v>1056.63</v>
      </c>
    </row>
    <row r="306" spans="1:24" ht="21" customHeight="1">
      <c r="A306" s="108">
        <v>340400</v>
      </c>
      <c r="B306" s="73" t="s">
        <v>260</v>
      </c>
      <c r="C306" s="76">
        <v>6395</v>
      </c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192"/>
      <c r="P306" s="192"/>
      <c r="Q306" s="76"/>
      <c r="R306" s="76"/>
      <c r="S306" s="76"/>
      <c r="T306" s="76"/>
      <c r="U306" s="76"/>
      <c r="V306" s="76"/>
      <c r="W306" s="76"/>
      <c r="X306" s="110">
        <f>SUM(C306:W306)</f>
        <v>6395</v>
      </c>
    </row>
    <row r="307" spans="1:24" ht="21" customHeight="1">
      <c r="A307" s="111">
        <v>340500</v>
      </c>
      <c r="B307" s="74" t="s">
        <v>261</v>
      </c>
      <c r="C307" s="76">
        <f>8560+8560</f>
        <v>17120</v>
      </c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193"/>
      <c r="P307" s="193"/>
      <c r="Q307" s="87"/>
      <c r="R307" s="87"/>
      <c r="S307" s="87"/>
      <c r="T307" s="87"/>
      <c r="U307" s="87"/>
      <c r="V307" s="87"/>
      <c r="W307" s="87"/>
      <c r="X307" s="113">
        <f>SUM(C307:W307)</f>
        <v>17120</v>
      </c>
    </row>
    <row r="308" spans="1:24" ht="21" customHeight="1">
      <c r="A308" s="490" t="s">
        <v>230</v>
      </c>
      <c r="B308" s="491"/>
      <c r="C308" s="110">
        <f>SUM(C304:C307)</f>
        <v>62742.35999999999</v>
      </c>
      <c r="D308" s="110">
        <f aca="true" t="shared" si="79" ref="D308:X308">SUM(D304:D307)</f>
        <v>0</v>
      </c>
      <c r="E308" s="110">
        <f t="shared" si="79"/>
        <v>0</v>
      </c>
      <c r="F308" s="110">
        <f t="shared" si="79"/>
        <v>0</v>
      </c>
      <c r="G308" s="110">
        <f t="shared" si="79"/>
        <v>0</v>
      </c>
      <c r="H308" s="110">
        <f t="shared" si="79"/>
        <v>0</v>
      </c>
      <c r="I308" s="110">
        <f t="shared" si="79"/>
        <v>0</v>
      </c>
      <c r="J308" s="110">
        <f t="shared" si="79"/>
        <v>0</v>
      </c>
      <c r="K308" s="110">
        <f t="shared" si="79"/>
        <v>0</v>
      </c>
      <c r="L308" s="110">
        <f t="shared" si="79"/>
        <v>0</v>
      </c>
      <c r="M308" s="110">
        <f t="shared" si="79"/>
        <v>0</v>
      </c>
      <c r="N308" s="110">
        <f t="shared" si="79"/>
        <v>0</v>
      </c>
      <c r="O308" s="110">
        <f t="shared" si="79"/>
        <v>0</v>
      </c>
      <c r="P308" s="110">
        <f t="shared" si="79"/>
        <v>0</v>
      </c>
      <c r="Q308" s="110">
        <f t="shared" si="79"/>
        <v>0</v>
      </c>
      <c r="R308" s="110">
        <f t="shared" si="79"/>
        <v>0</v>
      </c>
      <c r="S308" s="110">
        <f t="shared" si="79"/>
        <v>0</v>
      </c>
      <c r="T308" s="110">
        <f t="shared" si="79"/>
        <v>0</v>
      </c>
      <c r="U308" s="110">
        <f t="shared" si="79"/>
        <v>0</v>
      </c>
      <c r="V308" s="110">
        <f t="shared" si="79"/>
        <v>102844.88</v>
      </c>
      <c r="W308" s="110">
        <f t="shared" si="79"/>
        <v>0</v>
      </c>
      <c r="X308" s="110">
        <f t="shared" si="79"/>
        <v>165587.24</v>
      </c>
    </row>
    <row r="309" spans="1:24" ht="21" customHeight="1">
      <c r="A309" s="492" t="s">
        <v>231</v>
      </c>
      <c r="B309" s="493"/>
      <c r="C309" s="114">
        <f>+C308+C193</f>
        <v>102216.45999999999</v>
      </c>
      <c r="D309" s="114">
        <f aca="true" t="shared" si="80" ref="D309:X309">+D308+D193</f>
        <v>0</v>
      </c>
      <c r="E309" s="114">
        <f t="shared" si="80"/>
        <v>0</v>
      </c>
      <c r="F309" s="114">
        <f t="shared" si="80"/>
        <v>0</v>
      </c>
      <c r="G309" s="114">
        <f t="shared" si="80"/>
        <v>0</v>
      </c>
      <c r="H309" s="114">
        <f t="shared" si="80"/>
        <v>0</v>
      </c>
      <c r="I309" s="114">
        <f t="shared" si="80"/>
        <v>0</v>
      </c>
      <c r="J309" s="114">
        <f t="shared" si="80"/>
        <v>0</v>
      </c>
      <c r="K309" s="114">
        <f t="shared" si="80"/>
        <v>0</v>
      </c>
      <c r="L309" s="114">
        <f t="shared" si="80"/>
        <v>0</v>
      </c>
      <c r="M309" s="114">
        <f t="shared" si="80"/>
        <v>0</v>
      </c>
      <c r="N309" s="114">
        <f t="shared" si="80"/>
        <v>0</v>
      </c>
      <c r="O309" s="114">
        <f t="shared" si="80"/>
        <v>0</v>
      </c>
      <c r="P309" s="114">
        <f t="shared" si="80"/>
        <v>0</v>
      </c>
      <c r="Q309" s="114">
        <f t="shared" si="80"/>
        <v>0</v>
      </c>
      <c r="R309" s="114">
        <f t="shared" si="80"/>
        <v>0</v>
      </c>
      <c r="S309" s="114">
        <f t="shared" si="80"/>
        <v>0</v>
      </c>
      <c r="T309" s="114">
        <f t="shared" si="80"/>
        <v>0</v>
      </c>
      <c r="U309" s="114">
        <f t="shared" si="80"/>
        <v>0</v>
      </c>
      <c r="V309" s="114">
        <f t="shared" si="80"/>
        <v>160184.77000000002</v>
      </c>
      <c r="W309" s="114">
        <f t="shared" si="80"/>
        <v>0</v>
      </c>
      <c r="X309" s="114">
        <f t="shared" si="80"/>
        <v>262401.23</v>
      </c>
    </row>
    <row r="310" spans="1:24" ht="21" customHeight="1">
      <c r="A310" s="488" t="s">
        <v>276</v>
      </c>
      <c r="B310" s="489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95"/>
      <c r="P310" s="195"/>
      <c r="Q310" s="115"/>
      <c r="R310" s="115"/>
      <c r="S310" s="115"/>
      <c r="T310" s="115"/>
      <c r="U310" s="115"/>
      <c r="V310" s="115"/>
      <c r="W310" s="115"/>
      <c r="X310" s="116">
        <f aca="true" t="shared" si="81" ref="X310:X322">SUM(C310:W310)</f>
        <v>0</v>
      </c>
    </row>
    <row r="311" spans="1:24" ht="21" customHeight="1">
      <c r="A311" s="108">
        <v>410400</v>
      </c>
      <c r="B311" s="73" t="s">
        <v>262</v>
      </c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192"/>
      <c r="P311" s="192"/>
      <c r="Q311" s="76"/>
      <c r="R311" s="76"/>
      <c r="S311" s="76"/>
      <c r="T311" s="76"/>
      <c r="U311" s="76"/>
      <c r="V311" s="76"/>
      <c r="W311" s="76"/>
      <c r="X311" s="110">
        <f t="shared" si="81"/>
        <v>0</v>
      </c>
    </row>
    <row r="312" spans="1:24" ht="21" customHeight="1">
      <c r="A312" s="108">
        <v>410200</v>
      </c>
      <c r="B312" s="73" t="s">
        <v>310</v>
      </c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192"/>
      <c r="P312" s="192"/>
      <c r="Q312" s="76"/>
      <c r="R312" s="76"/>
      <c r="S312" s="76"/>
      <c r="T312" s="76"/>
      <c r="U312" s="76"/>
      <c r="V312" s="76"/>
      <c r="W312" s="76"/>
      <c r="X312" s="110">
        <f t="shared" si="81"/>
        <v>0</v>
      </c>
    </row>
    <row r="313" spans="1:24" ht="21" customHeight="1">
      <c r="A313" s="108">
        <v>410300</v>
      </c>
      <c r="B313" s="73" t="s">
        <v>263</v>
      </c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192"/>
      <c r="P313" s="192"/>
      <c r="Q313" s="76"/>
      <c r="R313" s="76"/>
      <c r="S313" s="76"/>
      <c r="T313" s="76"/>
      <c r="U313" s="76"/>
      <c r="V313" s="76"/>
      <c r="W313" s="76"/>
      <c r="X313" s="110">
        <f t="shared" si="81"/>
        <v>0</v>
      </c>
    </row>
    <row r="314" spans="1:24" ht="21" customHeight="1">
      <c r="A314" s="108">
        <v>410400</v>
      </c>
      <c r="B314" s="73" t="s">
        <v>311</v>
      </c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193"/>
      <c r="P314" s="193"/>
      <c r="Q314" s="87"/>
      <c r="R314" s="87"/>
      <c r="S314" s="87"/>
      <c r="T314" s="87"/>
      <c r="U314" s="87"/>
      <c r="V314" s="87"/>
      <c r="W314" s="87"/>
      <c r="X314" s="110">
        <f t="shared" si="81"/>
        <v>0</v>
      </c>
    </row>
    <row r="315" spans="1:24" ht="21" customHeight="1">
      <c r="A315" s="108">
        <v>410500</v>
      </c>
      <c r="B315" s="73" t="s">
        <v>312</v>
      </c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193"/>
      <c r="P315" s="193"/>
      <c r="Q315" s="87"/>
      <c r="R315" s="87"/>
      <c r="S315" s="87"/>
      <c r="T315" s="87"/>
      <c r="U315" s="87"/>
      <c r="V315" s="87"/>
      <c r="W315" s="87"/>
      <c r="X315" s="110">
        <f t="shared" si="81"/>
        <v>0</v>
      </c>
    </row>
    <row r="316" spans="1:24" ht="21" customHeight="1">
      <c r="A316" s="108">
        <v>410600</v>
      </c>
      <c r="B316" s="73" t="s">
        <v>313</v>
      </c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193"/>
      <c r="P316" s="193"/>
      <c r="Q316" s="87"/>
      <c r="R316" s="87"/>
      <c r="S316" s="87"/>
      <c r="T316" s="87"/>
      <c r="U316" s="87"/>
      <c r="V316" s="87"/>
      <c r="W316" s="87"/>
      <c r="X316" s="110">
        <f t="shared" si="81"/>
        <v>0</v>
      </c>
    </row>
    <row r="317" spans="1:24" ht="21" customHeight="1">
      <c r="A317" s="108">
        <v>410700</v>
      </c>
      <c r="B317" s="73" t="s">
        <v>264</v>
      </c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192"/>
      <c r="P317" s="192"/>
      <c r="Q317" s="76"/>
      <c r="R317" s="76"/>
      <c r="S317" s="76"/>
      <c r="T317" s="76"/>
      <c r="U317" s="76"/>
      <c r="V317" s="76"/>
      <c r="W317" s="76"/>
      <c r="X317" s="110">
        <f t="shared" si="81"/>
        <v>0</v>
      </c>
    </row>
    <row r="318" spans="1:24" ht="21" customHeight="1">
      <c r="A318" s="108">
        <v>410800</v>
      </c>
      <c r="B318" s="73" t="s">
        <v>314</v>
      </c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193"/>
      <c r="P318" s="193"/>
      <c r="Q318" s="87"/>
      <c r="R318" s="87"/>
      <c r="S318" s="87"/>
      <c r="T318" s="87"/>
      <c r="U318" s="87"/>
      <c r="V318" s="87"/>
      <c r="W318" s="87"/>
      <c r="X318" s="110">
        <f t="shared" si="81"/>
        <v>0</v>
      </c>
    </row>
    <row r="319" spans="1:24" ht="21" customHeight="1">
      <c r="A319" s="108">
        <v>410900</v>
      </c>
      <c r="B319" s="73" t="s">
        <v>347</v>
      </c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193"/>
      <c r="P319" s="193"/>
      <c r="Q319" s="87"/>
      <c r="R319" s="87"/>
      <c r="S319" s="87"/>
      <c r="T319" s="87"/>
      <c r="U319" s="87"/>
      <c r="V319" s="87"/>
      <c r="W319" s="87"/>
      <c r="X319" s="110">
        <f t="shared" si="81"/>
        <v>0</v>
      </c>
    </row>
    <row r="320" spans="1:24" ht="21" customHeight="1">
      <c r="A320" s="108">
        <v>411000</v>
      </c>
      <c r="B320" s="73" t="s">
        <v>449</v>
      </c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193"/>
      <c r="P320" s="193"/>
      <c r="Q320" s="87"/>
      <c r="R320" s="87"/>
      <c r="S320" s="87"/>
      <c r="T320" s="87"/>
      <c r="U320" s="87"/>
      <c r="V320" s="87"/>
      <c r="W320" s="87"/>
      <c r="X320" s="110">
        <f t="shared" si="81"/>
        <v>0</v>
      </c>
    </row>
    <row r="321" spans="1:24" ht="21" customHeight="1" hidden="1">
      <c r="A321" s="108">
        <v>411100</v>
      </c>
      <c r="B321" s="73" t="s">
        <v>371</v>
      </c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193"/>
      <c r="P321" s="193"/>
      <c r="Q321" s="87"/>
      <c r="R321" s="87"/>
      <c r="S321" s="87"/>
      <c r="T321" s="87"/>
      <c r="U321" s="87"/>
      <c r="V321" s="87"/>
      <c r="W321" s="87"/>
      <c r="X321" s="110">
        <f t="shared" si="81"/>
        <v>0</v>
      </c>
    </row>
    <row r="322" spans="1:24" ht="21" customHeight="1" hidden="1">
      <c r="A322" s="108">
        <v>411300</v>
      </c>
      <c r="B322" s="73" t="s">
        <v>450</v>
      </c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193"/>
      <c r="P322" s="193"/>
      <c r="Q322" s="87"/>
      <c r="R322" s="87"/>
      <c r="S322" s="87"/>
      <c r="T322" s="87"/>
      <c r="U322" s="87"/>
      <c r="V322" s="87"/>
      <c r="W322" s="87"/>
      <c r="X322" s="110">
        <f t="shared" si="81"/>
        <v>0</v>
      </c>
    </row>
    <row r="323" spans="1:24" ht="21" customHeight="1">
      <c r="A323" s="108">
        <v>411600</v>
      </c>
      <c r="B323" s="73" t="s">
        <v>315</v>
      </c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192"/>
      <c r="P323" s="192"/>
      <c r="Q323" s="76"/>
      <c r="R323" s="76"/>
      <c r="S323" s="76"/>
      <c r="T323" s="76"/>
      <c r="U323" s="76"/>
      <c r="V323" s="76"/>
      <c r="W323" s="76"/>
      <c r="X323" s="110">
        <f>SUM(C323:W323)</f>
        <v>0</v>
      </c>
    </row>
    <row r="324" spans="1:24" ht="21" customHeight="1">
      <c r="A324" s="108">
        <v>411800</v>
      </c>
      <c r="B324" s="73" t="s">
        <v>265</v>
      </c>
      <c r="C324" s="76">
        <v>5200</v>
      </c>
      <c r="D324" s="76"/>
      <c r="E324" s="76"/>
      <c r="F324" s="76"/>
      <c r="G324" s="76"/>
      <c r="H324" s="76"/>
      <c r="I324" s="76"/>
      <c r="J324" s="76"/>
      <c r="K324" s="76"/>
      <c r="L324" s="76"/>
      <c r="M324" s="76">
        <v>0</v>
      </c>
      <c r="N324" s="76"/>
      <c r="O324" s="192"/>
      <c r="P324" s="192"/>
      <c r="Q324" s="76"/>
      <c r="R324" s="76"/>
      <c r="S324" s="76"/>
      <c r="T324" s="76"/>
      <c r="U324" s="76"/>
      <c r="V324" s="76">
        <v>0</v>
      </c>
      <c r="W324" s="76"/>
      <c r="X324" s="110">
        <f>SUM(C324:W324)</f>
        <v>5200</v>
      </c>
    </row>
    <row r="325" spans="1:24" ht="21" customHeight="1">
      <c r="A325" s="490" t="s">
        <v>230</v>
      </c>
      <c r="B325" s="491"/>
      <c r="C325" s="110">
        <f>SUM(C311:C324)</f>
        <v>5200</v>
      </c>
      <c r="D325" s="110">
        <f aca="true" t="shared" si="82" ref="D325:O325">SUM(D311:D324)</f>
        <v>0</v>
      </c>
      <c r="E325" s="110">
        <f t="shared" si="82"/>
        <v>0</v>
      </c>
      <c r="F325" s="110">
        <f t="shared" si="82"/>
        <v>0</v>
      </c>
      <c r="G325" s="110">
        <f t="shared" si="82"/>
        <v>0</v>
      </c>
      <c r="H325" s="110">
        <f t="shared" si="82"/>
        <v>0</v>
      </c>
      <c r="I325" s="110">
        <f t="shared" si="82"/>
        <v>0</v>
      </c>
      <c r="J325" s="110">
        <f t="shared" si="82"/>
        <v>0</v>
      </c>
      <c r="K325" s="110">
        <f t="shared" si="82"/>
        <v>0</v>
      </c>
      <c r="L325" s="110">
        <f t="shared" si="82"/>
        <v>0</v>
      </c>
      <c r="M325" s="110">
        <f t="shared" si="82"/>
        <v>0</v>
      </c>
      <c r="N325" s="110">
        <f t="shared" si="82"/>
        <v>0</v>
      </c>
      <c r="O325" s="110">
        <f t="shared" si="82"/>
        <v>0</v>
      </c>
      <c r="P325" s="194">
        <f>SUM(P311:P324)</f>
        <v>0</v>
      </c>
      <c r="Q325" s="110">
        <f>SUM(Q311:Q324)</f>
        <v>0</v>
      </c>
      <c r="R325" s="110">
        <f>SUM(R311:R324)</f>
        <v>0</v>
      </c>
      <c r="S325" s="110"/>
      <c r="T325" s="110">
        <f>SUM(T311:T324)</f>
        <v>0</v>
      </c>
      <c r="U325" s="110">
        <f>SUM(U311:U324)</f>
        <v>0</v>
      </c>
      <c r="V325" s="110">
        <f>SUM(V311:V324)</f>
        <v>0</v>
      </c>
      <c r="W325" s="110">
        <f>SUM(W311:W324)</f>
        <v>0</v>
      </c>
      <c r="X325" s="110">
        <f>SUM(C325:W325)</f>
        <v>5200</v>
      </c>
    </row>
    <row r="326" spans="1:24" ht="21" customHeight="1">
      <c r="A326" s="492" t="s">
        <v>231</v>
      </c>
      <c r="B326" s="493"/>
      <c r="C326" s="114">
        <f>+C325+C210</f>
        <v>21700</v>
      </c>
      <c r="D326" s="114">
        <f aca="true" t="shared" si="83" ref="D326:X326">+D325+D210</f>
        <v>0</v>
      </c>
      <c r="E326" s="114">
        <f t="shared" si="83"/>
        <v>0</v>
      </c>
      <c r="F326" s="114">
        <f t="shared" si="83"/>
        <v>0</v>
      </c>
      <c r="G326" s="114">
        <f t="shared" si="83"/>
        <v>0</v>
      </c>
      <c r="H326" s="114">
        <f t="shared" si="83"/>
        <v>0</v>
      </c>
      <c r="I326" s="114">
        <f t="shared" si="83"/>
        <v>0</v>
      </c>
      <c r="J326" s="114">
        <f t="shared" si="83"/>
        <v>0</v>
      </c>
      <c r="K326" s="114">
        <f t="shared" si="83"/>
        <v>0</v>
      </c>
      <c r="L326" s="114">
        <f t="shared" si="83"/>
        <v>13160</v>
      </c>
      <c r="M326" s="114">
        <f t="shared" si="83"/>
        <v>0</v>
      </c>
      <c r="N326" s="114">
        <f t="shared" si="83"/>
        <v>0</v>
      </c>
      <c r="O326" s="114">
        <f t="shared" si="83"/>
        <v>0</v>
      </c>
      <c r="P326" s="114">
        <f t="shared" si="83"/>
        <v>0</v>
      </c>
      <c r="Q326" s="114">
        <f t="shared" si="83"/>
        <v>0</v>
      </c>
      <c r="R326" s="114">
        <f t="shared" si="83"/>
        <v>0</v>
      </c>
      <c r="S326" s="114">
        <f t="shared" si="83"/>
        <v>0</v>
      </c>
      <c r="T326" s="114">
        <f t="shared" si="83"/>
        <v>0</v>
      </c>
      <c r="U326" s="114">
        <f t="shared" si="83"/>
        <v>0</v>
      </c>
      <c r="V326" s="114">
        <f t="shared" si="83"/>
        <v>0</v>
      </c>
      <c r="W326" s="114">
        <f t="shared" si="83"/>
        <v>0</v>
      </c>
      <c r="X326" s="114">
        <f t="shared" si="83"/>
        <v>34860</v>
      </c>
    </row>
    <row r="327" spans="1:24" ht="21" customHeight="1">
      <c r="A327" s="497" t="s">
        <v>194</v>
      </c>
      <c r="B327" s="497"/>
      <c r="C327" s="496" t="s">
        <v>196</v>
      </c>
      <c r="D327" s="496"/>
      <c r="E327" s="499" t="s">
        <v>199</v>
      </c>
      <c r="F327" s="500"/>
      <c r="G327" s="496" t="s">
        <v>201</v>
      </c>
      <c r="H327" s="497"/>
      <c r="I327" s="499" t="s">
        <v>215</v>
      </c>
      <c r="J327" s="500"/>
      <c r="K327" s="335" t="s">
        <v>216</v>
      </c>
      <c r="L327" s="499" t="s">
        <v>217</v>
      </c>
      <c r="M327" s="501"/>
      <c r="N327" s="500"/>
      <c r="O327" s="499" t="s">
        <v>218</v>
      </c>
      <c r="P327" s="500"/>
      <c r="Q327" s="499" t="s">
        <v>219</v>
      </c>
      <c r="R327" s="501"/>
      <c r="S327" s="500"/>
      <c r="T327" s="496" t="s">
        <v>220</v>
      </c>
      <c r="U327" s="497"/>
      <c r="V327" s="335" t="s">
        <v>284</v>
      </c>
      <c r="W327" s="335" t="s">
        <v>221</v>
      </c>
      <c r="X327" s="498" t="s">
        <v>17</v>
      </c>
    </row>
    <row r="328" spans="1:24" ht="21" customHeight="1">
      <c r="A328" s="497" t="s">
        <v>195</v>
      </c>
      <c r="B328" s="497"/>
      <c r="C328" s="335" t="s">
        <v>197</v>
      </c>
      <c r="D328" s="335" t="s">
        <v>198</v>
      </c>
      <c r="E328" s="335" t="s">
        <v>200</v>
      </c>
      <c r="F328" s="335" t="s">
        <v>288</v>
      </c>
      <c r="G328" s="335" t="s">
        <v>202</v>
      </c>
      <c r="H328" s="335" t="s">
        <v>203</v>
      </c>
      <c r="I328" s="335" t="s">
        <v>204</v>
      </c>
      <c r="J328" s="335" t="s">
        <v>205</v>
      </c>
      <c r="K328" s="335" t="s">
        <v>206</v>
      </c>
      <c r="L328" s="335" t="s">
        <v>207</v>
      </c>
      <c r="M328" s="335" t="s">
        <v>208</v>
      </c>
      <c r="N328" s="335" t="s">
        <v>334</v>
      </c>
      <c r="O328" s="334" t="s">
        <v>471</v>
      </c>
      <c r="P328" s="334" t="s">
        <v>209</v>
      </c>
      <c r="Q328" s="335" t="s">
        <v>210</v>
      </c>
      <c r="R328" s="335" t="s">
        <v>211</v>
      </c>
      <c r="S328" s="335" t="s">
        <v>290</v>
      </c>
      <c r="T328" s="335" t="s">
        <v>212</v>
      </c>
      <c r="U328" s="335" t="s">
        <v>213</v>
      </c>
      <c r="V328" s="335" t="s">
        <v>285</v>
      </c>
      <c r="W328" s="335" t="s">
        <v>214</v>
      </c>
      <c r="X328" s="498"/>
    </row>
    <row r="329" spans="1:24" ht="21" customHeight="1">
      <c r="A329" s="488" t="s">
        <v>277</v>
      </c>
      <c r="B329" s="489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95"/>
      <c r="P329" s="195"/>
      <c r="Q329" s="115"/>
      <c r="R329" s="115"/>
      <c r="S329" s="115"/>
      <c r="T329" s="115"/>
      <c r="U329" s="115"/>
      <c r="V329" s="115"/>
      <c r="W329" s="115"/>
      <c r="X329" s="116">
        <f>SUM(C329:W329)</f>
        <v>0</v>
      </c>
    </row>
    <row r="330" spans="1:24" ht="21" customHeight="1">
      <c r="A330" s="108">
        <v>429000</v>
      </c>
      <c r="B330" s="109" t="s">
        <v>10</v>
      </c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192"/>
      <c r="P330" s="192"/>
      <c r="Q330" s="76"/>
      <c r="R330" s="76"/>
      <c r="S330" s="76"/>
      <c r="T330" s="76"/>
      <c r="U330" s="76"/>
      <c r="V330" s="76"/>
      <c r="W330" s="76"/>
      <c r="X330" s="110">
        <f>SUM(C330:W330)</f>
        <v>0</v>
      </c>
    </row>
    <row r="331" spans="1:24" ht="21" customHeight="1">
      <c r="A331" s="111">
        <v>421000</v>
      </c>
      <c r="B331" s="112" t="s">
        <v>281</v>
      </c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193"/>
      <c r="P331" s="193"/>
      <c r="Q331" s="87"/>
      <c r="R331" s="87"/>
      <c r="S331" s="87"/>
      <c r="T331" s="87"/>
      <c r="U331" s="87"/>
      <c r="V331" s="87"/>
      <c r="W331" s="87"/>
      <c r="X331" s="113">
        <f>SUM(C331:W331)</f>
        <v>0</v>
      </c>
    </row>
    <row r="332" spans="1:24" ht="21" customHeight="1">
      <c r="A332" s="490" t="s">
        <v>230</v>
      </c>
      <c r="B332" s="491"/>
      <c r="C332" s="110">
        <f>SUM(C330:C331)</f>
        <v>0</v>
      </c>
      <c r="D332" s="110">
        <f aca="true" t="shared" si="84" ref="D332:V332">SUM(D330:D331)</f>
        <v>0</v>
      </c>
      <c r="E332" s="110">
        <f t="shared" si="84"/>
        <v>0</v>
      </c>
      <c r="F332" s="110">
        <f t="shared" si="84"/>
        <v>0</v>
      </c>
      <c r="G332" s="110">
        <f t="shared" si="84"/>
        <v>0</v>
      </c>
      <c r="H332" s="110">
        <f t="shared" si="84"/>
        <v>0</v>
      </c>
      <c r="I332" s="110">
        <f t="shared" si="84"/>
        <v>0</v>
      </c>
      <c r="J332" s="110">
        <f t="shared" si="84"/>
        <v>0</v>
      </c>
      <c r="K332" s="110">
        <f t="shared" si="84"/>
        <v>0</v>
      </c>
      <c r="L332" s="110">
        <f t="shared" si="84"/>
        <v>0</v>
      </c>
      <c r="M332" s="110">
        <f t="shared" si="84"/>
        <v>0</v>
      </c>
      <c r="N332" s="110">
        <f t="shared" si="84"/>
        <v>0</v>
      </c>
      <c r="O332" s="110">
        <f t="shared" si="84"/>
        <v>0</v>
      </c>
      <c r="P332" s="110">
        <f t="shared" si="84"/>
        <v>0</v>
      </c>
      <c r="Q332" s="110">
        <f t="shared" si="84"/>
        <v>0</v>
      </c>
      <c r="R332" s="110">
        <f t="shared" si="84"/>
        <v>0</v>
      </c>
      <c r="S332" s="110">
        <f t="shared" si="84"/>
        <v>0</v>
      </c>
      <c r="T332" s="110">
        <f t="shared" si="84"/>
        <v>0</v>
      </c>
      <c r="U332" s="110">
        <f t="shared" si="84"/>
        <v>0</v>
      </c>
      <c r="V332" s="110">
        <f t="shared" si="84"/>
        <v>0</v>
      </c>
      <c r="W332" s="110">
        <f>SUM(W330:W331)</f>
        <v>0</v>
      </c>
      <c r="X332" s="110">
        <f>SUM(C332:W332)</f>
        <v>0</v>
      </c>
    </row>
    <row r="333" spans="1:24" ht="21" customHeight="1">
      <c r="A333" s="492" t="s">
        <v>231</v>
      </c>
      <c r="B333" s="493"/>
      <c r="C333" s="114">
        <f>+C332+C217</f>
        <v>0</v>
      </c>
      <c r="D333" s="114">
        <f aca="true" t="shared" si="85" ref="D333:X333">+D332+D217</f>
        <v>0</v>
      </c>
      <c r="E333" s="114">
        <f t="shared" si="85"/>
        <v>0</v>
      </c>
      <c r="F333" s="114">
        <f t="shared" si="85"/>
        <v>0</v>
      </c>
      <c r="G333" s="114">
        <f t="shared" si="85"/>
        <v>0</v>
      </c>
      <c r="H333" s="114">
        <f t="shared" si="85"/>
        <v>0</v>
      </c>
      <c r="I333" s="114">
        <f t="shared" si="85"/>
        <v>0</v>
      </c>
      <c r="J333" s="114">
        <f t="shared" si="85"/>
        <v>0</v>
      </c>
      <c r="K333" s="114">
        <f t="shared" si="85"/>
        <v>0</v>
      </c>
      <c r="L333" s="114">
        <f t="shared" si="85"/>
        <v>0</v>
      </c>
      <c r="M333" s="114">
        <f t="shared" si="85"/>
        <v>0</v>
      </c>
      <c r="N333" s="114">
        <f t="shared" si="85"/>
        <v>0</v>
      </c>
      <c r="O333" s="114">
        <f t="shared" si="85"/>
        <v>0</v>
      </c>
      <c r="P333" s="114">
        <f t="shared" si="85"/>
        <v>0</v>
      </c>
      <c r="Q333" s="114">
        <f t="shared" si="85"/>
        <v>0</v>
      </c>
      <c r="R333" s="114">
        <f t="shared" si="85"/>
        <v>0</v>
      </c>
      <c r="S333" s="114">
        <f t="shared" si="85"/>
        <v>0</v>
      </c>
      <c r="T333" s="114">
        <f t="shared" si="85"/>
        <v>0</v>
      </c>
      <c r="U333" s="114">
        <f t="shared" si="85"/>
        <v>0</v>
      </c>
      <c r="V333" s="114">
        <f t="shared" si="85"/>
        <v>0</v>
      </c>
      <c r="W333" s="114">
        <f t="shared" si="85"/>
        <v>0</v>
      </c>
      <c r="X333" s="114">
        <f t="shared" si="85"/>
        <v>0</v>
      </c>
    </row>
    <row r="334" spans="1:24" ht="21" customHeight="1">
      <c r="A334" s="488" t="s">
        <v>278</v>
      </c>
      <c r="B334" s="489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95"/>
      <c r="P334" s="195"/>
      <c r="Q334" s="115"/>
      <c r="R334" s="115"/>
      <c r="S334" s="115"/>
      <c r="T334" s="115"/>
      <c r="U334" s="115"/>
      <c r="V334" s="115"/>
      <c r="W334" s="115"/>
      <c r="X334" s="116">
        <f aca="true" t="shared" si="86" ref="X334:X339">SUM(C334:W334)</f>
        <v>0</v>
      </c>
    </row>
    <row r="335" spans="1:24" ht="21" customHeight="1">
      <c r="A335" s="108">
        <v>610100</v>
      </c>
      <c r="B335" s="117" t="s">
        <v>280</v>
      </c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192"/>
      <c r="P335" s="192"/>
      <c r="Q335" s="76"/>
      <c r="R335" s="76"/>
      <c r="S335" s="76"/>
      <c r="T335" s="76"/>
      <c r="U335" s="76"/>
      <c r="V335" s="76"/>
      <c r="W335" s="76"/>
      <c r="X335" s="110">
        <f t="shared" si="86"/>
        <v>0</v>
      </c>
    </row>
    <row r="336" spans="1:24" ht="21" customHeight="1">
      <c r="A336" s="108">
        <v>610200</v>
      </c>
      <c r="B336" s="109" t="s">
        <v>266</v>
      </c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192"/>
      <c r="P336" s="192"/>
      <c r="Q336" s="76"/>
      <c r="R336" s="76"/>
      <c r="S336" s="76"/>
      <c r="T336" s="76"/>
      <c r="U336" s="76"/>
      <c r="V336" s="76"/>
      <c r="W336" s="76"/>
      <c r="X336" s="110">
        <f t="shared" si="86"/>
        <v>0</v>
      </c>
    </row>
    <row r="337" spans="1:24" ht="21" customHeight="1">
      <c r="A337" s="111">
        <v>610300</v>
      </c>
      <c r="B337" s="112" t="s">
        <v>390</v>
      </c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193"/>
      <c r="P337" s="193"/>
      <c r="Q337" s="87"/>
      <c r="R337" s="87"/>
      <c r="S337" s="87"/>
      <c r="T337" s="87"/>
      <c r="U337" s="87"/>
      <c r="V337" s="87"/>
      <c r="W337" s="87"/>
      <c r="X337" s="110">
        <f t="shared" si="86"/>
        <v>0</v>
      </c>
    </row>
    <row r="338" spans="1:24" ht="21" customHeight="1">
      <c r="A338" s="111">
        <v>610400</v>
      </c>
      <c r="B338" s="112" t="s">
        <v>279</v>
      </c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193"/>
      <c r="P338" s="193"/>
      <c r="Q338" s="87"/>
      <c r="R338" s="87"/>
      <c r="S338" s="87"/>
      <c r="T338" s="87"/>
      <c r="U338" s="87"/>
      <c r="V338" s="87"/>
      <c r="W338" s="87"/>
      <c r="X338" s="113">
        <f t="shared" si="86"/>
        <v>0</v>
      </c>
    </row>
    <row r="339" spans="1:24" ht="21" customHeight="1">
      <c r="A339" s="490" t="s">
        <v>230</v>
      </c>
      <c r="B339" s="491"/>
      <c r="C339" s="110">
        <f>SUM(C335:C338)</f>
        <v>0</v>
      </c>
      <c r="D339" s="110">
        <f aca="true" t="shared" si="87" ref="D339:S339">SUM(D335:D338)</f>
        <v>0</v>
      </c>
      <c r="E339" s="110">
        <f t="shared" si="87"/>
        <v>0</v>
      </c>
      <c r="F339" s="110">
        <f t="shared" si="87"/>
        <v>0</v>
      </c>
      <c r="G339" s="110">
        <f t="shared" si="87"/>
        <v>0</v>
      </c>
      <c r="H339" s="110">
        <f t="shared" si="87"/>
        <v>0</v>
      </c>
      <c r="I339" s="110">
        <f t="shared" si="87"/>
        <v>0</v>
      </c>
      <c r="J339" s="110">
        <f t="shared" si="87"/>
        <v>0</v>
      </c>
      <c r="K339" s="110">
        <f t="shared" si="87"/>
        <v>0</v>
      </c>
      <c r="L339" s="110">
        <f t="shared" si="87"/>
        <v>0</v>
      </c>
      <c r="M339" s="110">
        <f t="shared" si="87"/>
        <v>0</v>
      </c>
      <c r="N339" s="110">
        <f t="shared" si="87"/>
        <v>0</v>
      </c>
      <c r="O339" s="110">
        <f t="shared" si="87"/>
        <v>0</v>
      </c>
      <c r="P339" s="110">
        <f t="shared" si="87"/>
        <v>0</v>
      </c>
      <c r="Q339" s="110">
        <f t="shared" si="87"/>
        <v>0</v>
      </c>
      <c r="R339" s="110">
        <f t="shared" si="87"/>
        <v>0</v>
      </c>
      <c r="S339" s="110">
        <f t="shared" si="87"/>
        <v>0</v>
      </c>
      <c r="T339" s="110">
        <f>SUM(T335:T338)</f>
        <v>0</v>
      </c>
      <c r="U339" s="110">
        <f>SUM(U335:U338)</f>
        <v>0</v>
      </c>
      <c r="V339" s="110">
        <f>SUM(V335:V338)</f>
        <v>0</v>
      </c>
      <c r="W339" s="110">
        <f>SUM(W335:W338)</f>
        <v>0</v>
      </c>
      <c r="X339" s="110">
        <f t="shared" si="86"/>
        <v>0</v>
      </c>
    </row>
    <row r="340" spans="1:24" ht="21" customHeight="1">
      <c r="A340" s="492" t="s">
        <v>231</v>
      </c>
      <c r="B340" s="493"/>
      <c r="C340" s="114">
        <f>+C339+C224</f>
        <v>0</v>
      </c>
      <c r="D340" s="114">
        <f aca="true" t="shared" si="88" ref="D340:X340">+D339+D224</f>
        <v>0</v>
      </c>
      <c r="E340" s="114">
        <f t="shared" si="88"/>
        <v>0</v>
      </c>
      <c r="F340" s="114">
        <f t="shared" si="88"/>
        <v>0</v>
      </c>
      <c r="G340" s="114">
        <f t="shared" si="88"/>
        <v>0</v>
      </c>
      <c r="H340" s="114">
        <f t="shared" si="88"/>
        <v>944000</v>
      </c>
      <c r="I340" s="114">
        <f t="shared" si="88"/>
        <v>0</v>
      </c>
      <c r="J340" s="114">
        <f t="shared" si="88"/>
        <v>0</v>
      </c>
      <c r="K340" s="114">
        <f t="shared" si="88"/>
        <v>0</v>
      </c>
      <c r="L340" s="114">
        <f t="shared" si="88"/>
        <v>0</v>
      </c>
      <c r="M340" s="114">
        <f t="shared" si="88"/>
        <v>0</v>
      </c>
      <c r="N340" s="114">
        <f t="shared" si="88"/>
        <v>0</v>
      </c>
      <c r="O340" s="114">
        <f t="shared" si="88"/>
        <v>0</v>
      </c>
      <c r="P340" s="114">
        <f t="shared" si="88"/>
        <v>0</v>
      </c>
      <c r="Q340" s="114">
        <f t="shared" si="88"/>
        <v>0</v>
      </c>
      <c r="R340" s="114">
        <f t="shared" si="88"/>
        <v>0</v>
      </c>
      <c r="S340" s="114">
        <f t="shared" si="88"/>
        <v>0</v>
      </c>
      <c r="T340" s="114">
        <f t="shared" si="88"/>
        <v>0</v>
      </c>
      <c r="U340" s="114">
        <f t="shared" si="88"/>
        <v>0</v>
      </c>
      <c r="V340" s="114">
        <f t="shared" si="88"/>
        <v>0</v>
      </c>
      <c r="W340" s="114">
        <f t="shared" si="88"/>
        <v>0</v>
      </c>
      <c r="X340" s="114">
        <f t="shared" si="88"/>
        <v>944000</v>
      </c>
    </row>
    <row r="341" spans="1:24" ht="21" customHeight="1">
      <c r="A341" s="488" t="s">
        <v>282</v>
      </c>
      <c r="B341" s="489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95"/>
      <c r="P341" s="195"/>
      <c r="Q341" s="115"/>
      <c r="R341" s="115"/>
      <c r="S341" s="115"/>
      <c r="T341" s="115"/>
      <c r="U341" s="115"/>
      <c r="V341" s="115"/>
      <c r="W341" s="115"/>
      <c r="X341" s="116">
        <f>SUM(C341:W341)</f>
        <v>0</v>
      </c>
    </row>
    <row r="342" spans="1:24" ht="21" customHeight="1">
      <c r="A342" s="108">
        <v>551000</v>
      </c>
      <c r="B342" s="109" t="s">
        <v>12</v>
      </c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192"/>
      <c r="P342" s="192"/>
      <c r="Q342" s="76"/>
      <c r="R342" s="76"/>
      <c r="S342" s="76"/>
      <c r="T342" s="76"/>
      <c r="U342" s="76"/>
      <c r="V342" s="76"/>
      <c r="W342" s="76"/>
      <c r="X342" s="110">
        <f>SUM(C342:W342)</f>
        <v>0</v>
      </c>
    </row>
    <row r="343" spans="1:24" ht="21" customHeight="1">
      <c r="A343" s="111">
        <v>510100</v>
      </c>
      <c r="B343" s="112" t="s">
        <v>283</v>
      </c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193"/>
      <c r="P343" s="193"/>
      <c r="Q343" s="87"/>
      <c r="R343" s="87"/>
      <c r="S343" s="87"/>
      <c r="T343" s="87"/>
      <c r="U343" s="87"/>
      <c r="V343" s="87"/>
      <c r="W343" s="87"/>
      <c r="X343" s="113">
        <f>SUM(C343:W343)</f>
        <v>0</v>
      </c>
    </row>
    <row r="344" spans="1:24" ht="21" customHeight="1">
      <c r="A344" s="490" t="s">
        <v>230</v>
      </c>
      <c r="B344" s="491"/>
      <c r="C344" s="110">
        <f>SUM(C342:C343)</f>
        <v>0</v>
      </c>
      <c r="D344" s="110">
        <f aca="true" t="shared" si="89" ref="D344:X344">SUM(D342:D343)</f>
        <v>0</v>
      </c>
      <c r="E344" s="110">
        <f t="shared" si="89"/>
        <v>0</v>
      </c>
      <c r="F344" s="110">
        <f t="shared" si="89"/>
        <v>0</v>
      </c>
      <c r="G344" s="110">
        <f t="shared" si="89"/>
        <v>0</v>
      </c>
      <c r="H344" s="110">
        <f t="shared" si="89"/>
        <v>0</v>
      </c>
      <c r="I344" s="110">
        <f t="shared" si="89"/>
        <v>0</v>
      </c>
      <c r="J344" s="110">
        <f t="shared" si="89"/>
        <v>0</v>
      </c>
      <c r="K344" s="110">
        <f t="shared" si="89"/>
        <v>0</v>
      </c>
      <c r="L344" s="110">
        <f t="shared" si="89"/>
        <v>0</v>
      </c>
      <c r="M344" s="110">
        <f t="shared" si="89"/>
        <v>0</v>
      </c>
      <c r="N344" s="110">
        <f t="shared" si="89"/>
        <v>0</v>
      </c>
      <c r="O344" s="110">
        <f t="shared" si="89"/>
        <v>0</v>
      </c>
      <c r="P344" s="110">
        <f t="shared" si="89"/>
        <v>0</v>
      </c>
      <c r="Q344" s="110">
        <f t="shared" si="89"/>
        <v>0</v>
      </c>
      <c r="R344" s="110">
        <f t="shared" si="89"/>
        <v>0</v>
      </c>
      <c r="S344" s="110">
        <f t="shared" si="89"/>
        <v>0</v>
      </c>
      <c r="T344" s="110">
        <f t="shared" si="89"/>
        <v>0</v>
      </c>
      <c r="U344" s="110">
        <f t="shared" si="89"/>
        <v>0</v>
      </c>
      <c r="V344" s="110">
        <f t="shared" si="89"/>
        <v>0</v>
      </c>
      <c r="W344" s="110">
        <f t="shared" si="89"/>
        <v>0</v>
      </c>
      <c r="X344" s="110">
        <f t="shared" si="89"/>
        <v>0</v>
      </c>
    </row>
    <row r="345" spans="1:24" ht="21" customHeight="1">
      <c r="A345" s="492" t="s">
        <v>231</v>
      </c>
      <c r="B345" s="493"/>
      <c r="C345" s="114">
        <f>+C344+C229</f>
        <v>0</v>
      </c>
      <c r="D345" s="114">
        <f aca="true" t="shared" si="90" ref="D345:X345">+D344+D229</f>
        <v>0</v>
      </c>
      <c r="E345" s="114">
        <f t="shared" si="90"/>
        <v>0</v>
      </c>
      <c r="F345" s="114">
        <f t="shared" si="90"/>
        <v>0</v>
      </c>
      <c r="G345" s="114">
        <f t="shared" si="90"/>
        <v>0</v>
      </c>
      <c r="H345" s="114">
        <f t="shared" si="90"/>
        <v>0</v>
      </c>
      <c r="I345" s="114">
        <f t="shared" si="90"/>
        <v>0</v>
      </c>
      <c r="J345" s="114">
        <f t="shared" si="90"/>
        <v>0</v>
      </c>
      <c r="K345" s="114">
        <f t="shared" si="90"/>
        <v>0</v>
      </c>
      <c r="L345" s="114">
        <f t="shared" si="90"/>
        <v>0</v>
      </c>
      <c r="M345" s="114">
        <f t="shared" si="90"/>
        <v>0</v>
      </c>
      <c r="N345" s="114">
        <f t="shared" si="90"/>
        <v>0</v>
      </c>
      <c r="O345" s="114">
        <f t="shared" si="90"/>
        <v>0</v>
      </c>
      <c r="P345" s="114">
        <f t="shared" si="90"/>
        <v>0</v>
      </c>
      <c r="Q345" s="114">
        <f t="shared" si="90"/>
        <v>0</v>
      </c>
      <c r="R345" s="114">
        <f t="shared" si="90"/>
        <v>0</v>
      </c>
      <c r="S345" s="114">
        <f t="shared" si="90"/>
        <v>0</v>
      </c>
      <c r="T345" s="114">
        <f t="shared" si="90"/>
        <v>0</v>
      </c>
      <c r="U345" s="114">
        <f t="shared" si="90"/>
        <v>0</v>
      </c>
      <c r="V345" s="114">
        <f t="shared" si="90"/>
        <v>0</v>
      </c>
      <c r="W345" s="114">
        <f t="shared" si="90"/>
        <v>0</v>
      </c>
      <c r="X345" s="114">
        <f t="shared" si="90"/>
        <v>0</v>
      </c>
    </row>
    <row r="346" spans="1:26" ht="21" customHeight="1">
      <c r="A346" s="494" t="s">
        <v>230</v>
      </c>
      <c r="B346" s="495"/>
      <c r="C346" s="49">
        <f aca="true" t="shared" si="91" ref="C346:W347">SUM(C246,C254,C266,C275,C282,C301,C308,C325,C332,C339,C344)</f>
        <v>743591.36</v>
      </c>
      <c r="D346" s="49">
        <f t="shared" si="91"/>
        <v>125358.23</v>
      </c>
      <c r="E346" s="49">
        <f t="shared" si="91"/>
        <v>20770</v>
      </c>
      <c r="F346" s="49">
        <f t="shared" si="91"/>
        <v>11500</v>
      </c>
      <c r="G346" s="49">
        <f t="shared" si="91"/>
        <v>43980</v>
      </c>
      <c r="H346" s="49">
        <f t="shared" si="91"/>
        <v>0</v>
      </c>
      <c r="I346" s="49">
        <f t="shared" si="91"/>
        <v>26760</v>
      </c>
      <c r="J346" s="49">
        <f t="shared" si="91"/>
        <v>19500</v>
      </c>
      <c r="K346" s="49">
        <f t="shared" si="91"/>
        <v>0</v>
      </c>
      <c r="L346" s="49">
        <f t="shared" si="91"/>
        <v>99287</v>
      </c>
      <c r="M346" s="49">
        <f t="shared" si="91"/>
        <v>0</v>
      </c>
      <c r="N346" s="49">
        <f t="shared" si="91"/>
        <v>64225</v>
      </c>
      <c r="O346" s="49">
        <f t="shared" si="91"/>
        <v>46350</v>
      </c>
      <c r="P346" s="49">
        <f t="shared" si="91"/>
        <v>61400</v>
      </c>
      <c r="Q346" s="49">
        <f t="shared" si="91"/>
        <v>3850</v>
      </c>
      <c r="R346" s="49">
        <f t="shared" si="91"/>
        <v>0</v>
      </c>
      <c r="S346" s="49">
        <f t="shared" si="91"/>
        <v>0</v>
      </c>
      <c r="T346" s="49">
        <f t="shared" si="91"/>
        <v>0</v>
      </c>
      <c r="U346" s="49">
        <f t="shared" si="91"/>
        <v>0</v>
      </c>
      <c r="V346" s="49">
        <f t="shared" si="91"/>
        <v>110844.88</v>
      </c>
      <c r="W346" s="49">
        <f t="shared" si="91"/>
        <v>45107</v>
      </c>
      <c r="X346" s="49">
        <f>SUM(C346:W346)</f>
        <v>1422523.4699999997</v>
      </c>
      <c r="Y346" s="106">
        <f>1410423.47+12100</f>
        <v>1422523.47</v>
      </c>
      <c r="Z346" s="124">
        <f>+'[5]จ่ายเดือน '!$H$7</f>
        <v>1422523.47</v>
      </c>
    </row>
    <row r="347" spans="1:26" ht="21" customHeight="1">
      <c r="A347" s="494" t="s">
        <v>231</v>
      </c>
      <c r="B347" s="495"/>
      <c r="C347" s="49">
        <f>SUM(C247,C255,C267,C276,C283,C302,C309,C326,C333,C340,C345)</f>
        <v>1886967.57</v>
      </c>
      <c r="D347" s="49">
        <f t="shared" si="91"/>
        <v>400077.02999999997</v>
      </c>
      <c r="E347" s="49">
        <f t="shared" si="91"/>
        <v>62310</v>
      </c>
      <c r="F347" s="49">
        <f t="shared" si="91"/>
        <v>14750</v>
      </c>
      <c r="G347" s="49">
        <f t="shared" si="91"/>
        <v>106440</v>
      </c>
      <c r="H347" s="49">
        <f t="shared" si="91"/>
        <v>1154000</v>
      </c>
      <c r="I347" s="49">
        <f t="shared" si="91"/>
        <v>80280</v>
      </c>
      <c r="J347" s="49">
        <f t="shared" si="91"/>
        <v>40000</v>
      </c>
      <c r="K347" s="49">
        <f t="shared" si="91"/>
        <v>0</v>
      </c>
      <c r="L347" s="49">
        <f t="shared" si="91"/>
        <v>276635</v>
      </c>
      <c r="M347" s="49">
        <f t="shared" si="91"/>
        <v>0</v>
      </c>
      <c r="N347" s="49">
        <f t="shared" si="91"/>
        <v>185563.75</v>
      </c>
      <c r="O347" s="49">
        <f t="shared" si="91"/>
        <v>137100</v>
      </c>
      <c r="P347" s="49">
        <f t="shared" si="91"/>
        <v>65430</v>
      </c>
      <c r="Q347" s="49">
        <f t="shared" si="91"/>
        <v>12550</v>
      </c>
      <c r="R347" s="49">
        <f t="shared" si="91"/>
        <v>5750</v>
      </c>
      <c r="S347" s="49">
        <f t="shared" si="91"/>
        <v>0</v>
      </c>
      <c r="T347" s="49">
        <f t="shared" si="91"/>
        <v>0</v>
      </c>
      <c r="U347" s="49">
        <f t="shared" si="91"/>
        <v>0</v>
      </c>
      <c r="V347" s="49">
        <f t="shared" si="91"/>
        <v>176184.77000000002</v>
      </c>
      <c r="W347" s="49">
        <f t="shared" si="91"/>
        <v>78491</v>
      </c>
      <c r="X347" s="49">
        <f>SUM(C347:W347)</f>
        <v>4682529.119999999</v>
      </c>
      <c r="Y347" s="106">
        <f>+X231</f>
        <v>3260005.65</v>
      </c>
      <c r="Z347" s="124">
        <f>+X346-Z346</f>
        <v>0</v>
      </c>
    </row>
    <row r="348" spans="1:25" ht="21" customHeight="1">
      <c r="A348" s="502" t="s">
        <v>364</v>
      </c>
      <c r="B348" s="502"/>
      <c r="C348" s="502"/>
      <c r="D348" s="502"/>
      <c r="E348" s="502"/>
      <c r="F348" s="502"/>
      <c r="G348" s="502"/>
      <c r="H348" s="502"/>
      <c r="I348" s="502"/>
      <c r="J348" s="502"/>
      <c r="K348" s="502"/>
      <c r="L348" s="502"/>
      <c r="M348" s="502"/>
      <c r="N348" s="502"/>
      <c r="O348" s="503" t="str">
        <f>+A348</f>
        <v>เทศบาลตำบลเขาพระ อำเภอพิปูน จังหวัดนครศรีธรรมราช</v>
      </c>
      <c r="P348" s="503"/>
      <c r="Q348" s="503"/>
      <c r="R348" s="503"/>
      <c r="S348" s="503"/>
      <c r="T348" s="503"/>
      <c r="U348" s="503"/>
      <c r="V348" s="503"/>
      <c r="W348" s="503"/>
      <c r="X348" s="503"/>
      <c r="Y348" s="106">
        <f>+Y347+X346</f>
        <v>4682529.119999999</v>
      </c>
    </row>
    <row r="349" spans="1:24" ht="21" customHeight="1">
      <c r="A349" s="502" t="s">
        <v>193</v>
      </c>
      <c r="B349" s="502"/>
      <c r="C349" s="502"/>
      <c r="D349" s="502"/>
      <c r="E349" s="502"/>
      <c r="F349" s="502"/>
      <c r="G349" s="502"/>
      <c r="H349" s="502"/>
      <c r="I349" s="502"/>
      <c r="J349" s="502"/>
      <c r="K349" s="502"/>
      <c r="L349" s="502"/>
      <c r="M349" s="502"/>
      <c r="N349" s="502"/>
      <c r="O349" s="504" t="s">
        <v>193</v>
      </c>
      <c r="P349" s="504"/>
      <c r="Q349" s="504"/>
      <c r="R349" s="504"/>
      <c r="S349" s="504"/>
      <c r="T349" s="504"/>
      <c r="U349" s="504"/>
      <c r="V349" s="504"/>
      <c r="W349" s="504"/>
      <c r="X349" s="504"/>
    </row>
    <row r="350" spans="1:24" ht="21" customHeight="1">
      <c r="A350" s="505" t="s">
        <v>528</v>
      </c>
      <c r="B350" s="505"/>
      <c r="C350" s="505"/>
      <c r="D350" s="505"/>
      <c r="E350" s="505"/>
      <c r="F350" s="505"/>
      <c r="G350" s="505"/>
      <c r="H350" s="505"/>
      <c r="I350" s="505"/>
      <c r="J350" s="505"/>
      <c r="K350" s="505"/>
      <c r="L350" s="505"/>
      <c r="M350" s="505"/>
      <c r="N350" s="505"/>
      <c r="O350" s="506" t="s">
        <v>528</v>
      </c>
      <c r="P350" s="506"/>
      <c r="Q350" s="506"/>
      <c r="R350" s="506"/>
      <c r="S350" s="506"/>
      <c r="T350" s="506"/>
      <c r="U350" s="506"/>
      <c r="V350" s="506"/>
      <c r="W350" s="506"/>
      <c r="X350" s="506"/>
    </row>
    <row r="351" spans="1:24" ht="21" customHeight="1">
      <c r="A351" s="497" t="s">
        <v>194</v>
      </c>
      <c r="B351" s="497"/>
      <c r="C351" s="496" t="s">
        <v>196</v>
      </c>
      <c r="D351" s="496"/>
      <c r="E351" s="499" t="s">
        <v>199</v>
      </c>
      <c r="F351" s="500"/>
      <c r="G351" s="496" t="s">
        <v>201</v>
      </c>
      <c r="H351" s="497"/>
      <c r="I351" s="499" t="s">
        <v>215</v>
      </c>
      <c r="J351" s="500"/>
      <c r="K351" s="348" t="s">
        <v>216</v>
      </c>
      <c r="L351" s="499" t="s">
        <v>217</v>
      </c>
      <c r="M351" s="501"/>
      <c r="N351" s="500"/>
      <c r="O351" s="499" t="s">
        <v>218</v>
      </c>
      <c r="P351" s="500"/>
      <c r="Q351" s="499" t="s">
        <v>219</v>
      </c>
      <c r="R351" s="501"/>
      <c r="S351" s="500"/>
      <c r="T351" s="496" t="s">
        <v>220</v>
      </c>
      <c r="U351" s="497"/>
      <c r="V351" s="348" t="s">
        <v>284</v>
      </c>
      <c r="W351" s="348" t="s">
        <v>221</v>
      </c>
      <c r="X351" s="498" t="s">
        <v>17</v>
      </c>
    </row>
    <row r="352" spans="1:24" ht="21" customHeight="1">
      <c r="A352" s="497" t="s">
        <v>195</v>
      </c>
      <c r="B352" s="497"/>
      <c r="C352" s="348" t="s">
        <v>197</v>
      </c>
      <c r="D352" s="348" t="s">
        <v>198</v>
      </c>
      <c r="E352" s="348" t="s">
        <v>200</v>
      </c>
      <c r="F352" s="348" t="s">
        <v>288</v>
      </c>
      <c r="G352" s="348" t="s">
        <v>202</v>
      </c>
      <c r="H352" s="348" t="s">
        <v>203</v>
      </c>
      <c r="I352" s="348" t="s">
        <v>204</v>
      </c>
      <c r="J352" s="348" t="s">
        <v>205</v>
      </c>
      <c r="K352" s="348" t="s">
        <v>206</v>
      </c>
      <c r="L352" s="348" t="s">
        <v>207</v>
      </c>
      <c r="M352" s="348" t="s">
        <v>208</v>
      </c>
      <c r="N352" s="348" t="s">
        <v>334</v>
      </c>
      <c r="O352" s="349" t="s">
        <v>471</v>
      </c>
      <c r="P352" s="349" t="s">
        <v>209</v>
      </c>
      <c r="Q352" s="348" t="s">
        <v>210</v>
      </c>
      <c r="R352" s="348" t="s">
        <v>211</v>
      </c>
      <c r="S352" s="348" t="s">
        <v>290</v>
      </c>
      <c r="T352" s="348" t="s">
        <v>212</v>
      </c>
      <c r="U352" s="348" t="s">
        <v>213</v>
      </c>
      <c r="V352" s="348" t="s">
        <v>285</v>
      </c>
      <c r="W352" s="348" t="s">
        <v>214</v>
      </c>
      <c r="X352" s="498"/>
    </row>
    <row r="353" spans="1:24" ht="21" customHeight="1">
      <c r="A353" s="488" t="s">
        <v>268</v>
      </c>
      <c r="B353" s="489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91"/>
      <c r="P353" s="191"/>
      <c r="Q353" s="107"/>
      <c r="R353" s="107"/>
      <c r="S353" s="107"/>
      <c r="T353" s="107"/>
      <c r="U353" s="107"/>
      <c r="V353" s="107"/>
      <c r="W353" s="107"/>
      <c r="X353" s="107"/>
    </row>
    <row r="354" spans="1:24" ht="21" customHeight="1">
      <c r="A354" s="108">
        <v>110300</v>
      </c>
      <c r="B354" s="109" t="s">
        <v>222</v>
      </c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192"/>
      <c r="P354" s="192"/>
      <c r="Q354" s="76"/>
      <c r="R354" s="76"/>
      <c r="S354" s="76"/>
      <c r="T354" s="76"/>
      <c r="U354" s="76"/>
      <c r="V354" s="76"/>
      <c r="W354" s="76">
        <f>8694+813</f>
        <v>9507</v>
      </c>
      <c r="X354" s="110">
        <f>SUM(C354:W354)</f>
        <v>9507</v>
      </c>
    </row>
    <row r="355" spans="1:24" ht="21" customHeight="1">
      <c r="A355" s="108">
        <v>110700</v>
      </c>
      <c r="B355" s="109" t="s">
        <v>123</v>
      </c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192"/>
      <c r="P355" s="192"/>
      <c r="Q355" s="76"/>
      <c r="R355" s="76"/>
      <c r="S355" s="76"/>
      <c r="T355" s="76"/>
      <c r="U355" s="76"/>
      <c r="V355" s="76"/>
      <c r="W355" s="76"/>
      <c r="X355" s="110">
        <f aca="true" t="shared" si="92" ref="X355:X360">SUM(C355:W355)</f>
        <v>0</v>
      </c>
    </row>
    <row r="356" spans="1:24" ht="21" customHeight="1">
      <c r="A356" s="108">
        <v>110800</v>
      </c>
      <c r="B356" s="109" t="s">
        <v>129</v>
      </c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192"/>
      <c r="P356" s="192"/>
      <c r="Q356" s="76"/>
      <c r="R356" s="76"/>
      <c r="S356" s="76"/>
      <c r="T356" s="76"/>
      <c r="U356" s="76"/>
      <c r="V356" s="76"/>
      <c r="W356" s="76"/>
      <c r="X356" s="110">
        <f t="shared" si="92"/>
        <v>0</v>
      </c>
    </row>
    <row r="357" spans="1:24" ht="21" customHeight="1">
      <c r="A357" s="108">
        <v>110900</v>
      </c>
      <c r="B357" s="109" t="s">
        <v>130</v>
      </c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192"/>
      <c r="P357" s="192"/>
      <c r="Q357" s="76"/>
      <c r="R357" s="76"/>
      <c r="S357" s="76"/>
      <c r="T357" s="76"/>
      <c r="U357" s="76"/>
      <c r="V357" s="76"/>
      <c r="W357" s="76">
        <v>8000</v>
      </c>
      <c r="X357" s="110">
        <f t="shared" si="92"/>
        <v>8000</v>
      </c>
    </row>
    <row r="358" spans="1:24" ht="21" customHeight="1">
      <c r="A358" s="108">
        <v>111000</v>
      </c>
      <c r="B358" s="109" t="s">
        <v>131</v>
      </c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192"/>
      <c r="P358" s="192"/>
      <c r="Q358" s="76"/>
      <c r="R358" s="76"/>
      <c r="S358" s="76"/>
      <c r="T358" s="76"/>
      <c r="U358" s="76"/>
      <c r="V358" s="76"/>
      <c r="W358" s="76">
        <f>8290+81400+12700</f>
        <v>102390</v>
      </c>
      <c r="X358" s="110">
        <f t="shared" si="92"/>
        <v>102390</v>
      </c>
    </row>
    <row r="359" spans="1:24" ht="21" customHeight="1" hidden="1">
      <c r="A359" s="108">
        <v>111100</v>
      </c>
      <c r="B359" s="109" t="s">
        <v>224</v>
      </c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192"/>
      <c r="P359" s="192"/>
      <c r="Q359" s="76"/>
      <c r="R359" s="76"/>
      <c r="S359" s="76"/>
      <c r="T359" s="76"/>
      <c r="U359" s="76"/>
      <c r="V359" s="76"/>
      <c r="W359" s="76"/>
      <c r="X359" s="110">
        <f t="shared" si="92"/>
        <v>0</v>
      </c>
    </row>
    <row r="360" spans="1:24" ht="21" customHeight="1" hidden="1">
      <c r="A360" s="108">
        <v>111100</v>
      </c>
      <c r="B360" s="109" t="s">
        <v>451</v>
      </c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192"/>
      <c r="P360" s="192"/>
      <c r="Q360" s="76"/>
      <c r="R360" s="76"/>
      <c r="S360" s="76"/>
      <c r="T360" s="76"/>
      <c r="U360" s="76"/>
      <c r="V360" s="76"/>
      <c r="W360" s="76"/>
      <c r="X360" s="110">
        <f t="shared" si="92"/>
        <v>0</v>
      </c>
    </row>
    <row r="361" spans="1:24" ht="21" customHeight="1" hidden="1">
      <c r="A361" s="111">
        <v>120100</v>
      </c>
      <c r="B361" s="112" t="s">
        <v>223</v>
      </c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193"/>
      <c r="P361" s="193"/>
      <c r="Q361" s="87"/>
      <c r="R361" s="87"/>
      <c r="S361" s="87"/>
      <c r="T361" s="87"/>
      <c r="U361" s="87"/>
      <c r="V361" s="87"/>
      <c r="W361" s="87"/>
      <c r="X361" s="113">
        <f>SUM(C361:W361)</f>
        <v>0</v>
      </c>
    </row>
    <row r="362" spans="1:24" ht="21" customHeight="1">
      <c r="A362" s="490" t="s">
        <v>230</v>
      </c>
      <c r="B362" s="491"/>
      <c r="C362" s="110">
        <f>SUM(C354:C361)</f>
        <v>0</v>
      </c>
      <c r="D362" s="110">
        <f aca="true" t="shared" si="93" ref="D362:L362">SUM(D354:D361)</f>
        <v>0</v>
      </c>
      <c r="E362" s="110">
        <f t="shared" si="93"/>
        <v>0</v>
      </c>
      <c r="F362" s="110">
        <f t="shared" si="93"/>
        <v>0</v>
      </c>
      <c r="G362" s="110">
        <f t="shared" si="93"/>
        <v>0</v>
      </c>
      <c r="H362" s="110">
        <f t="shared" si="93"/>
        <v>0</v>
      </c>
      <c r="I362" s="110">
        <f t="shared" si="93"/>
        <v>0</v>
      </c>
      <c r="J362" s="110">
        <f t="shared" si="93"/>
        <v>0</v>
      </c>
      <c r="K362" s="110">
        <f t="shared" si="93"/>
        <v>0</v>
      </c>
      <c r="L362" s="110">
        <f t="shared" si="93"/>
        <v>0</v>
      </c>
      <c r="M362" s="110">
        <f>SUM(M354:M361)</f>
        <v>0</v>
      </c>
      <c r="N362" s="110">
        <f>SUM(N354:N361)</f>
        <v>0</v>
      </c>
      <c r="O362" s="110">
        <f>SUM(O354:O361)</f>
        <v>0</v>
      </c>
      <c r="P362" s="110">
        <f>SUM(P354:P361)</f>
        <v>0</v>
      </c>
      <c r="Q362" s="110">
        <f>SUM(Q354:Q361)</f>
        <v>0</v>
      </c>
      <c r="R362" s="110">
        <f>SUM(R354:R361)</f>
        <v>0</v>
      </c>
      <c r="S362" s="110"/>
      <c r="T362" s="110">
        <f>SUM(T354:T361)</f>
        <v>0</v>
      </c>
      <c r="U362" s="110">
        <f>SUM(U354:U361)</f>
        <v>0</v>
      </c>
      <c r="V362" s="110">
        <f>SUM(V354:V361)</f>
        <v>0</v>
      </c>
      <c r="W362" s="110">
        <f>SUM(W354:W361)</f>
        <v>119897</v>
      </c>
      <c r="X362" s="110">
        <f>SUM(C362:W362)</f>
        <v>119897</v>
      </c>
    </row>
    <row r="363" spans="1:24" ht="21" customHeight="1">
      <c r="A363" s="492" t="s">
        <v>231</v>
      </c>
      <c r="B363" s="493"/>
      <c r="C363" s="114">
        <f>+C362+C247</f>
        <v>0</v>
      </c>
      <c r="D363" s="114">
        <f aca="true" t="shared" si="94" ref="D363:X363">+D362+D247</f>
        <v>0</v>
      </c>
      <c r="E363" s="114">
        <f t="shared" si="94"/>
        <v>0</v>
      </c>
      <c r="F363" s="114">
        <f t="shared" si="94"/>
        <v>0</v>
      </c>
      <c r="G363" s="114">
        <f t="shared" si="94"/>
        <v>0</v>
      </c>
      <c r="H363" s="114">
        <f t="shared" si="94"/>
        <v>0</v>
      </c>
      <c r="I363" s="114">
        <f t="shared" si="94"/>
        <v>0</v>
      </c>
      <c r="J363" s="114">
        <f t="shared" si="94"/>
        <v>0</v>
      </c>
      <c r="K363" s="114">
        <f t="shared" si="94"/>
        <v>0</v>
      </c>
      <c r="L363" s="114">
        <f t="shared" si="94"/>
        <v>0</v>
      </c>
      <c r="M363" s="114">
        <f t="shared" si="94"/>
        <v>0</v>
      </c>
      <c r="N363" s="114">
        <f t="shared" si="94"/>
        <v>0</v>
      </c>
      <c r="O363" s="114">
        <f t="shared" si="94"/>
        <v>0</v>
      </c>
      <c r="P363" s="114">
        <f t="shared" si="94"/>
        <v>0</v>
      </c>
      <c r="Q363" s="114">
        <f t="shared" si="94"/>
        <v>0</v>
      </c>
      <c r="R363" s="114">
        <f t="shared" si="94"/>
        <v>0</v>
      </c>
      <c r="S363" s="114">
        <f t="shared" si="94"/>
        <v>0</v>
      </c>
      <c r="T363" s="114">
        <f t="shared" si="94"/>
        <v>0</v>
      </c>
      <c r="U363" s="114">
        <f t="shared" si="94"/>
        <v>0</v>
      </c>
      <c r="V363" s="114">
        <f t="shared" si="94"/>
        <v>0</v>
      </c>
      <c r="W363" s="114">
        <f t="shared" si="94"/>
        <v>198388</v>
      </c>
      <c r="X363" s="114">
        <f t="shared" si="94"/>
        <v>198388</v>
      </c>
    </row>
    <row r="364" spans="1:24" ht="21" customHeight="1">
      <c r="A364" s="488" t="s">
        <v>269</v>
      </c>
      <c r="B364" s="489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95"/>
      <c r="P364" s="195"/>
      <c r="Q364" s="115"/>
      <c r="R364" s="115"/>
      <c r="S364" s="115"/>
      <c r="T364" s="115"/>
      <c r="U364" s="115"/>
      <c r="V364" s="115"/>
      <c r="W364" s="115"/>
      <c r="X364" s="116">
        <f aca="true" t="shared" si="95" ref="X364:X369">SUM(C364:W364)</f>
        <v>0</v>
      </c>
    </row>
    <row r="365" spans="1:24" ht="21" customHeight="1">
      <c r="A365" s="108">
        <v>210100</v>
      </c>
      <c r="B365" s="73" t="s">
        <v>225</v>
      </c>
      <c r="C365" s="76">
        <v>57960</v>
      </c>
      <c r="D365" s="76">
        <v>0</v>
      </c>
      <c r="E365" s="76"/>
      <c r="F365" s="76"/>
      <c r="G365" s="76"/>
      <c r="H365" s="76"/>
      <c r="I365" s="76"/>
      <c r="J365" s="76"/>
      <c r="K365" s="76"/>
      <c r="L365" s="76">
        <v>0</v>
      </c>
      <c r="M365" s="76"/>
      <c r="N365" s="76"/>
      <c r="O365" s="192"/>
      <c r="P365" s="192"/>
      <c r="Q365" s="76"/>
      <c r="R365" s="76"/>
      <c r="S365" s="76"/>
      <c r="T365" s="76"/>
      <c r="U365" s="76"/>
      <c r="V365" s="76"/>
      <c r="W365" s="76"/>
      <c r="X365" s="110">
        <f t="shared" si="95"/>
        <v>57960</v>
      </c>
    </row>
    <row r="366" spans="1:24" ht="21" customHeight="1">
      <c r="A366" s="108">
        <v>210200</v>
      </c>
      <c r="B366" s="73" t="s">
        <v>229</v>
      </c>
      <c r="C366" s="76">
        <v>10000</v>
      </c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192"/>
      <c r="P366" s="192"/>
      <c r="Q366" s="76"/>
      <c r="R366" s="76"/>
      <c r="S366" s="76"/>
      <c r="T366" s="76"/>
      <c r="U366" s="76"/>
      <c r="V366" s="76"/>
      <c r="W366" s="76"/>
      <c r="X366" s="110">
        <f t="shared" si="95"/>
        <v>10000</v>
      </c>
    </row>
    <row r="367" spans="1:24" ht="21" customHeight="1">
      <c r="A367" s="108">
        <v>210300</v>
      </c>
      <c r="B367" s="73" t="s">
        <v>226</v>
      </c>
      <c r="C367" s="76">
        <v>10000</v>
      </c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192"/>
      <c r="P367" s="192"/>
      <c r="Q367" s="76"/>
      <c r="R367" s="76"/>
      <c r="S367" s="76"/>
      <c r="T367" s="76"/>
      <c r="U367" s="76"/>
      <c r="V367" s="76"/>
      <c r="W367" s="76"/>
      <c r="X367" s="110">
        <f t="shared" si="95"/>
        <v>10000</v>
      </c>
    </row>
    <row r="368" spans="1:24" ht="21" customHeight="1">
      <c r="A368" s="108">
        <v>210400</v>
      </c>
      <c r="B368" s="73" t="s">
        <v>227</v>
      </c>
      <c r="C368" s="76">
        <v>16560</v>
      </c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192"/>
      <c r="P368" s="192"/>
      <c r="Q368" s="76"/>
      <c r="R368" s="76"/>
      <c r="S368" s="76"/>
      <c r="T368" s="76"/>
      <c r="U368" s="76"/>
      <c r="V368" s="76"/>
      <c r="W368" s="76"/>
      <c r="X368" s="110">
        <f t="shared" si="95"/>
        <v>16560</v>
      </c>
    </row>
    <row r="369" spans="1:24" ht="21" customHeight="1">
      <c r="A369" s="111">
        <v>210600</v>
      </c>
      <c r="B369" s="74" t="s">
        <v>228</v>
      </c>
      <c r="C369" s="76">
        <v>124200</v>
      </c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193"/>
      <c r="P369" s="193"/>
      <c r="Q369" s="87"/>
      <c r="R369" s="87"/>
      <c r="S369" s="87"/>
      <c r="T369" s="87"/>
      <c r="U369" s="87"/>
      <c r="V369" s="87"/>
      <c r="W369" s="87"/>
      <c r="X369" s="113">
        <f t="shared" si="95"/>
        <v>124200</v>
      </c>
    </row>
    <row r="370" spans="1:24" ht="21" customHeight="1">
      <c r="A370" s="490" t="s">
        <v>230</v>
      </c>
      <c r="B370" s="491"/>
      <c r="C370" s="110">
        <f>SUM(C365:C369)</f>
        <v>218720</v>
      </c>
      <c r="D370" s="110">
        <f>SUM(D364:D369)</f>
        <v>0</v>
      </c>
      <c r="E370" s="110">
        <f>SUM(E364:E369)</f>
        <v>0</v>
      </c>
      <c r="F370" s="110">
        <f aca="true" t="shared" si="96" ref="F370:L370">SUM(F364:F369)</f>
        <v>0</v>
      </c>
      <c r="G370" s="110">
        <f t="shared" si="96"/>
        <v>0</v>
      </c>
      <c r="H370" s="110">
        <f t="shared" si="96"/>
        <v>0</v>
      </c>
      <c r="I370" s="110">
        <f t="shared" si="96"/>
        <v>0</v>
      </c>
      <c r="J370" s="110">
        <f t="shared" si="96"/>
        <v>0</v>
      </c>
      <c r="K370" s="110">
        <f t="shared" si="96"/>
        <v>0</v>
      </c>
      <c r="L370" s="110">
        <f t="shared" si="96"/>
        <v>0</v>
      </c>
      <c r="M370" s="110">
        <f>SUM(M364:M369)</f>
        <v>0</v>
      </c>
      <c r="N370" s="110">
        <f>SUM(N364:N369)</f>
        <v>0</v>
      </c>
      <c r="O370" s="110">
        <f>SUM(O364:O369)</f>
        <v>0</v>
      </c>
      <c r="P370" s="110">
        <f>SUM(P364:P369)</f>
        <v>0</v>
      </c>
      <c r="Q370" s="110">
        <f>SUM(Q364:Q369)</f>
        <v>0</v>
      </c>
      <c r="R370" s="110">
        <f>SUM(R364:R369)</f>
        <v>0</v>
      </c>
      <c r="S370" s="110"/>
      <c r="T370" s="110">
        <f>SUM(T364:T369)</f>
        <v>0</v>
      </c>
      <c r="U370" s="110">
        <f>SUM(U364:U369)</f>
        <v>0</v>
      </c>
      <c r="V370" s="110">
        <f>SUM(V364:V369)</f>
        <v>0</v>
      </c>
      <c r="W370" s="110">
        <f>SUM(W364:W369)</f>
        <v>0</v>
      </c>
      <c r="X370" s="110">
        <f>SUM(C370:W370)</f>
        <v>218720</v>
      </c>
    </row>
    <row r="371" spans="1:24" ht="21" customHeight="1">
      <c r="A371" s="492" t="s">
        <v>231</v>
      </c>
      <c r="B371" s="493"/>
      <c r="C371" s="110">
        <f>+C370+C255</f>
        <v>869894</v>
      </c>
      <c r="D371" s="110">
        <f aca="true" t="shared" si="97" ref="D371:X371">+D370+D255</f>
        <v>0</v>
      </c>
      <c r="E371" s="110">
        <f t="shared" si="97"/>
        <v>0</v>
      </c>
      <c r="F371" s="110">
        <f t="shared" si="97"/>
        <v>0</v>
      </c>
      <c r="G371" s="110">
        <f t="shared" si="97"/>
        <v>0</v>
      </c>
      <c r="H371" s="110">
        <f t="shared" si="97"/>
        <v>0</v>
      </c>
      <c r="I371" s="110">
        <f t="shared" si="97"/>
        <v>0</v>
      </c>
      <c r="J371" s="110">
        <f t="shared" si="97"/>
        <v>0</v>
      </c>
      <c r="K371" s="110">
        <f t="shared" si="97"/>
        <v>0</v>
      </c>
      <c r="L371" s="110">
        <f t="shared" si="97"/>
        <v>0</v>
      </c>
      <c r="M371" s="110">
        <f t="shared" si="97"/>
        <v>0</v>
      </c>
      <c r="N371" s="110">
        <f t="shared" si="97"/>
        <v>0</v>
      </c>
      <c r="O371" s="110">
        <f t="shared" si="97"/>
        <v>0</v>
      </c>
      <c r="P371" s="110">
        <f t="shared" si="97"/>
        <v>0</v>
      </c>
      <c r="Q371" s="110">
        <f t="shared" si="97"/>
        <v>0</v>
      </c>
      <c r="R371" s="110">
        <f t="shared" si="97"/>
        <v>0</v>
      </c>
      <c r="S371" s="110">
        <f t="shared" si="97"/>
        <v>0</v>
      </c>
      <c r="T371" s="110">
        <f t="shared" si="97"/>
        <v>0</v>
      </c>
      <c r="U371" s="110">
        <f t="shared" si="97"/>
        <v>0</v>
      </c>
      <c r="V371" s="110">
        <f t="shared" si="97"/>
        <v>0</v>
      </c>
      <c r="W371" s="110">
        <f t="shared" si="97"/>
        <v>0</v>
      </c>
      <c r="X371" s="110">
        <f t="shared" si="97"/>
        <v>869894</v>
      </c>
    </row>
    <row r="372" spans="1:24" ht="21" customHeight="1">
      <c r="A372" s="488" t="s">
        <v>270</v>
      </c>
      <c r="B372" s="489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95"/>
      <c r="P372" s="195"/>
      <c r="Q372" s="115"/>
      <c r="R372" s="115"/>
      <c r="S372" s="115"/>
      <c r="T372" s="115"/>
      <c r="U372" s="115"/>
      <c r="V372" s="115"/>
      <c r="W372" s="115"/>
      <c r="X372" s="116">
        <f>SUM(C372:W372)</f>
        <v>0</v>
      </c>
    </row>
    <row r="373" spans="1:24" ht="21" customHeight="1">
      <c r="A373" s="108">
        <v>220100</v>
      </c>
      <c r="B373" s="73" t="s">
        <v>232</v>
      </c>
      <c r="C373" s="76">
        <v>195820</v>
      </c>
      <c r="D373" s="76">
        <v>78950</v>
      </c>
      <c r="E373" s="76">
        <v>20770</v>
      </c>
      <c r="F373" s="76">
        <v>0</v>
      </c>
      <c r="G373" s="76"/>
      <c r="H373" s="76"/>
      <c r="I373" s="76"/>
      <c r="J373" s="76"/>
      <c r="K373" s="76"/>
      <c r="L373" s="76">
        <v>39244</v>
      </c>
      <c r="M373" s="76"/>
      <c r="N373" s="76"/>
      <c r="O373" s="192">
        <v>16960</v>
      </c>
      <c r="P373" s="192"/>
      <c r="Q373" s="76"/>
      <c r="R373" s="76"/>
      <c r="S373" s="76"/>
      <c r="T373" s="76"/>
      <c r="U373" s="76"/>
      <c r="V373" s="76"/>
      <c r="W373" s="76"/>
      <c r="X373" s="110">
        <f>SUM(C373:W373)</f>
        <v>351744</v>
      </c>
    </row>
    <row r="374" spans="1:24" ht="21" customHeight="1">
      <c r="A374" s="108">
        <v>220200</v>
      </c>
      <c r="B374" s="73" t="s">
        <v>233</v>
      </c>
      <c r="C374" s="76">
        <v>5600</v>
      </c>
      <c r="D374" s="76">
        <v>655</v>
      </c>
      <c r="E374" s="76"/>
      <c r="F374" s="76"/>
      <c r="G374" s="76"/>
      <c r="H374" s="76"/>
      <c r="I374" s="76"/>
      <c r="J374" s="76"/>
      <c r="K374" s="76"/>
      <c r="L374" s="76">
        <v>0</v>
      </c>
      <c r="M374" s="76"/>
      <c r="N374" s="76"/>
      <c r="O374" s="192"/>
      <c r="P374" s="192"/>
      <c r="Q374" s="76"/>
      <c r="R374" s="76"/>
      <c r="S374" s="76"/>
      <c r="T374" s="76"/>
      <c r="U374" s="76"/>
      <c r="V374" s="76"/>
      <c r="W374" s="76"/>
      <c r="X374" s="110">
        <f>SUM(C374:W374)</f>
        <v>6255</v>
      </c>
    </row>
    <row r="375" spans="1:24" ht="21" customHeight="1">
      <c r="A375" s="108">
        <v>220300</v>
      </c>
      <c r="B375" s="73" t="s">
        <v>234</v>
      </c>
      <c r="C375" s="76">
        <v>9100</v>
      </c>
      <c r="D375" s="76"/>
      <c r="E375" s="76"/>
      <c r="F375" s="76"/>
      <c r="G375" s="76"/>
      <c r="H375" s="76"/>
      <c r="I375" s="76"/>
      <c r="J375" s="76"/>
      <c r="K375" s="76"/>
      <c r="L375" s="76">
        <v>0</v>
      </c>
      <c r="M375" s="76"/>
      <c r="N375" s="76"/>
      <c r="O375" s="192"/>
      <c r="P375" s="192"/>
      <c r="Q375" s="76"/>
      <c r="R375" s="76"/>
      <c r="S375" s="76"/>
      <c r="T375" s="76"/>
      <c r="U375" s="76"/>
      <c r="V375" s="76"/>
      <c r="W375" s="76"/>
      <c r="X375" s="110">
        <f>SUM(C375:W375)</f>
        <v>9100</v>
      </c>
    </row>
    <row r="376" spans="1:24" ht="21" customHeight="1">
      <c r="A376" s="108">
        <v>220400</v>
      </c>
      <c r="B376" s="73" t="s">
        <v>3</v>
      </c>
      <c r="C376" s="76"/>
      <c r="D376" s="76">
        <v>30960</v>
      </c>
      <c r="E376" s="76"/>
      <c r="F376" s="76"/>
      <c r="G376" s="76"/>
      <c r="H376" s="76"/>
      <c r="I376" s="76"/>
      <c r="J376" s="76"/>
      <c r="K376" s="76"/>
      <c r="L376" s="76">
        <v>0</v>
      </c>
      <c r="M376" s="76"/>
      <c r="N376" s="76"/>
      <c r="O376" s="192"/>
      <c r="P376" s="192"/>
      <c r="Q376" s="76"/>
      <c r="R376" s="76"/>
      <c r="S376" s="76"/>
      <c r="T376" s="76"/>
      <c r="U376" s="76"/>
      <c r="V376" s="76"/>
      <c r="W376" s="76"/>
      <c r="X376" s="110">
        <f>SUM(C376:W376)</f>
        <v>30960</v>
      </c>
    </row>
    <row r="377" spans="1:24" ht="21" customHeight="1" hidden="1">
      <c r="A377" s="108">
        <v>220500</v>
      </c>
      <c r="B377" s="73" t="s">
        <v>235</v>
      </c>
      <c r="C377" s="76"/>
      <c r="D377" s="76">
        <v>0</v>
      </c>
      <c r="E377" s="76"/>
      <c r="F377" s="76"/>
      <c r="G377" s="76"/>
      <c r="H377" s="76"/>
      <c r="I377" s="76"/>
      <c r="J377" s="76"/>
      <c r="K377" s="76"/>
      <c r="L377" s="76">
        <v>0</v>
      </c>
      <c r="M377" s="76"/>
      <c r="N377" s="76"/>
      <c r="O377" s="192"/>
      <c r="P377" s="192"/>
      <c r="Q377" s="76"/>
      <c r="R377" s="76"/>
      <c r="S377" s="76"/>
      <c r="T377" s="76"/>
      <c r="U377" s="76"/>
      <c r="V377" s="76"/>
      <c r="W377" s="76"/>
      <c r="X377" s="110">
        <f>SUM(C377:W377)</f>
        <v>0</v>
      </c>
    </row>
    <row r="378" spans="1:24" ht="21" customHeight="1">
      <c r="A378" s="497" t="s">
        <v>194</v>
      </c>
      <c r="B378" s="497"/>
      <c r="C378" s="496" t="s">
        <v>196</v>
      </c>
      <c r="D378" s="496"/>
      <c r="E378" s="499" t="s">
        <v>199</v>
      </c>
      <c r="F378" s="500"/>
      <c r="G378" s="496" t="s">
        <v>201</v>
      </c>
      <c r="H378" s="497"/>
      <c r="I378" s="499" t="s">
        <v>215</v>
      </c>
      <c r="J378" s="500"/>
      <c r="K378" s="348" t="s">
        <v>216</v>
      </c>
      <c r="L378" s="499" t="s">
        <v>217</v>
      </c>
      <c r="M378" s="501"/>
      <c r="N378" s="500"/>
      <c r="O378" s="499" t="s">
        <v>218</v>
      </c>
      <c r="P378" s="500"/>
      <c r="Q378" s="499" t="s">
        <v>219</v>
      </c>
      <c r="R378" s="501"/>
      <c r="S378" s="500"/>
      <c r="T378" s="496" t="s">
        <v>220</v>
      </c>
      <c r="U378" s="497"/>
      <c r="V378" s="348" t="s">
        <v>284</v>
      </c>
      <c r="W378" s="348" t="s">
        <v>221</v>
      </c>
      <c r="X378" s="498" t="s">
        <v>17</v>
      </c>
    </row>
    <row r="379" spans="1:24" ht="21" customHeight="1">
      <c r="A379" s="497" t="s">
        <v>195</v>
      </c>
      <c r="B379" s="497"/>
      <c r="C379" s="348" t="s">
        <v>197</v>
      </c>
      <c r="D379" s="348" t="s">
        <v>198</v>
      </c>
      <c r="E379" s="348" t="s">
        <v>200</v>
      </c>
      <c r="F379" s="348" t="s">
        <v>288</v>
      </c>
      <c r="G379" s="348" t="s">
        <v>202</v>
      </c>
      <c r="H379" s="348" t="s">
        <v>203</v>
      </c>
      <c r="I379" s="348" t="s">
        <v>204</v>
      </c>
      <c r="J379" s="348" t="s">
        <v>205</v>
      </c>
      <c r="K379" s="348" t="s">
        <v>206</v>
      </c>
      <c r="L379" s="348" t="s">
        <v>207</v>
      </c>
      <c r="M379" s="348" t="s">
        <v>208</v>
      </c>
      <c r="N379" s="348" t="s">
        <v>334</v>
      </c>
      <c r="O379" s="349" t="s">
        <v>471</v>
      </c>
      <c r="P379" s="349" t="s">
        <v>209</v>
      </c>
      <c r="Q379" s="348" t="s">
        <v>210</v>
      </c>
      <c r="R379" s="348" t="s">
        <v>211</v>
      </c>
      <c r="S379" s="348" t="s">
        <v>290</v>
      </c>
      <c r="T379" s="348" t="s">
        <v>212</v>
      </c>
      <c r="U379" s="348" t="s">
        <v>213</v>
      </c>
      <c r="V379" s="348" t="s">
        <v>285</v>
      </c>
      <c r="W379" s="348" t="s">
        <v>214</v>
      </c>
      <c r="X379" s="498"/>
    </row>
    <row r="380" spans="1:24" ht="21" customHeight="1">
      <c r="A380" s="108">
        <v>220600</v>
      </c>
      <c r="B380" s="73" t="s">
        <v>236</v>
      </c>
      <c r="C380" s="76">
        <v>57060</v>
      </c>
      <c r="D380" s="76">
        <v>15000</v>
      </c>
      <c r="E380" s="76"/>
      <c r="F380" s="76"/>
      <c r="G380" s="76">
        <f>16240+27650</f>
        <v>43890</v>
      </c>
      <c r="H380" s="84"/>
      <c r="I380" s="76">
        <v>25260</v>
      </c>
      <c r="J380" s="76"/>
      <c r="K380" s="76"/>
      <c r="L380" s="76">
        <v>28080</v>
      </c>
      <c r="M380" s="76"/>
      <c r="N380" s="76"/>
      <c r="O380" s="192">
        <v>25940</v>
      </c>
      <c r="P380" s="192"/>
      <c r="Q380" s="76"/>
      <c r="R380" s="76"/>
      <c r="S380" s="76"/>
      <c r="T380" s="76"/>
      <c r="U380" s="76"/>
      <c r="V380" s="76"/>
      <c r="W380" s="76"/>
      <c r="X380" s="110">
        <f>SUM(C380:W380)</f>
        <v>195230</v>
      </c>
    </row>
    <row r="381" spans="1:24" ht="21" customHeight="1">
      <c r="A381" s="111">
        <v>220700</v>
      </c>
      <c r="B381" s="74" t="s">
        <v>237</v>
      </c>
      <c r="C381" s="76">
        <v>4500</v>
      </c>
      <c r="D381" s="87"/>
      <c r="E381" s="87"/>
      <c r="F381" s="87"/>
      <c r="G381" s="145"/>
      <c r="H381" s="145"/>
      <c r="I381" s="87">
        <v>1500</v>
      </c>
      <c r="J381" s="87"/>
      <c r="K381" s="87"/>
      <c r="L381" s="76">
        <v>1500</v>
      </c>
      <c r="M381" s="87"/>
      <c r="N381" s="87"/>
      <c r="O381" s="193">
        <v>1500</v>
      </c>
      <c r="P381" s="193"/>
      <c r="Q381" s="87"/>
      <c r="R381" s="87"/>
      <c r="S381" s="87"/>
      <c r="T381" s="87"/>
      <c r="U381" s="87"/>
      <c r="V381" s="87"/>
      <c r="W381" s="87"/>
      <c r="X381" s="110">
        <f>SUM(C381:W381)</f>
        <v>9000</v>
      </c>
    </row>
    <row r="382" spans="1:25" ht="21" customHeight="1">
      <c r="A382" s="490" t="s">
        <v>230</v>
      </c>
      <c r="B382" s="491"/>
      <c r="C382" s="110">
        <f>SUM(C372:C381)</f>
        <v>272080</v>
      </c>
      <c r="D382" s="110">
        <f aca="true" t="shared" si="98" ref="D382:X382">SUM(D372:D381)</f>
        <v>125565</v>
      </c>
      <c r="E382" s="110">
        <f t="shared" si="98"/>
        <v>20770</v>
      </c>
      <c r="F382" s="110">
        <f t="shared" si="98"/>
        <v>0</v>
      </c>
      <c r="G382" s="110">
        <f t="shared" si="98"/>
        <v>43890</v>
      </c>
      <c r="H382" s="110">
        <f t="shared" si="98"/>
        <v>0</v>
      </c>
      <c r="I382" s="110">
        <f t="shared" si="98"/>
        <v>26760</v>
      </c>
      <c r="J382" s="110">
        <f t="shared" si="98"/>
        <v>0</v>
      </c>
      <c r="K382" s="110">
        <f t="shared" si="98"/>
        <v>0</v>
      </c>
      <c r="L382" s="110">
        <f t="shared" si="98"/>
        <v>68824</v>
      </c>
      <c r="M382" s="110">
        <f t="shared" si="98"/>
        <v>0</v>
      </c>
      <c r="N382" s="110">
        <f t="shared" si="98"/>
        <v>0</v>
      </c>
      <c r="O382" s="110">
        <f t="shared" si="98"/>
        <v>44400</v>
      </c>
      <c r="P382" s="110">
        <f t="shared" si="98"/>
        <v>0</v>
      </c>
      <c r="Q382" s="110">
        <f t="shared" si="98"/>
        <v>0</v>
      </c>
      <c r="R382" s="110">
        <f t="shared" si="98"/>
        <v>0</v>
      </c>
      <c r="S382" s="110">
        <f t="shared" si="98"/>
        <v>0</v>
      </c>
      <c r="T382" s="110">
        <f t="shared" si="98"/>
        <v>0</v>
      </c>
      <c r="U382" s="110">
        <f t="shared" si="98"/>
        <v>0</v>
      </c>
      <c r="V382" s="110">
        <f t="shared" si="98"/>
        <v>0</v>
      </c>
      <c r="W382" s="110">
        <f t="shared" si="98"/>
        <v>0</v>
      </c>
      <c r="X382" s="110">
        <f t="shared" si="98"/>
        <v>602289</v>
      </c>
      <c r="Y382" s="106">
        <f>367099+30960+204230</f>
        <v>602289</v>
      </c>
    </row>
    <row r="383" spans="1:24" ht="21" customHeight="1">
      <c r="A383" s="492" t="s">
        <v>231</v>
      </c>
      <c r="B383" s="493"/>
      <c r="C383" s="114">
        <f>+C382+C267</f>
        <v>1073586</v>
      </c>
      <c r="D383" s="114">
        <f aca="true" t="shared" si="99" ref="D383:X383">+D382+D267</f>
        <v>467663.23</v>
      </c>
      <c r="E383" s="114">
        <f t="shared" si="99"/>
        <v>83080</v>
      </c>
      <c r="F383" s="114">
        <f t="shared" si="99"/>
        <v>0</v>
      </c>
      <c r="G383" s="114">
        <f t="shared" si="99"/>
        <v>99330</v>
      </c>
      <c r="H383" s="114">
        <f t="shared" si="99"/>
        <v>0</v>
      </c>
      <c r="I383" s="114">
        <f t="shared" si="99"/>
        <v>107040</v>
      </c>
      <c r="J383" s="114">
        <f t="shared" si="99"/>
        <v>0</v>
      </c>
      <c r="K383" s="114">
        <f t="shared" si="99"/>
        <v>0</v>
      </c>
      <c r="L383" s="114">
        <f t="shared" si="99"/>
        <v>298122</v>
      </c>
      <c r="M383" s="114">
        <f t="shared" si="99"/>
        <v>0</v>
      </c>
      <c r="N383" s="114">
        <f t="shared" si="99"/>
        <v>0</v>
      </c>
      <c r="O383" s="114">
        <f t="shared" si="99"/>
        <v>177600</v>
      </c>
      <c r="P383" s="114">
        <f t="shared" si="99"/>
        <v>0</v>
      </c>
      <c r="Q383" s="114">
        <f t="shared" si="99"/>
        <v>0</v>
      </c>
      <c r="R383" s="114">
        <f t="shared" si="99"/>
        <v>0</v>
      </c>
      <c r="S383" s="114">
        <f t="shared" si="99"/>
        <v>0</v>
      </c>
      <c r="T383" s="114">
        <f t="shared" si="99"/>
        <v>0</v>
      </c>
      <c r="U383" s="114">
        <f t="shared" si="99"/>
        <v>0</v>
      </c>
      <c r="V383" s="114">
        <f t="shared" si="99"/>
        <v>0</v>
      </c>
      <c r="W383" s="114">
        <f t="shared" si="99"/>
        <v>0</v>
      </c>
      <c r="X383" s="114">
        <f t="shared" si="99"/>
        <v>2306421.23</v>
      </c>
    </row>
    <row r="384" spans="1:24" ht="21" customHeight="1">
      <c r="A384" s="488" t="s">
        <v>271</v>
      </c>
      <c r="B384" s="489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95"/>
      <c r="P384" s="195"/>
      <c r="Q384" s="115"/>
      <c r="R384" s="115"/>
      <c r="S384" s="115"/>
      <c r="T384" s="115"/>
      <c r="U384" s="115"/>
      <c r="V384" s="115"/>
      <c r="W384" s="115"/>
      <c r="X384" s="116">
        <f aca="true" t="shared" si="100" ref="X384:X389">SUM(C384:W384)</f>
        <v>0</v>
      </c>
    </row>
    <row r="385" spans="1:24" ht="21" customHeight="1">
      <c r="A385" s="108">
        <v>310100</v>
      </c>
      <c r="B385" s="73" t="s">
        <v>238</v>
      </c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192"/>
      <c r="P385" s="192"/>
      <c r="Q385" s="76"/>
      <c r="R385" s="76"/>
      <c r="S385" s="76"/>
      <c r="T385" s="76"/>
      <c r="U385" s="76"/>
      <c r="V385" s="76"/>
      <c r="W385" s="76"/>
      <c r="X385" s="110">
        <f t="shared" si="100"/>
        <v>0</v>
      </c>
    </row>
    <row r="386" spans="1:24" ht="21" customHeight="1">
      <c r="A386" s="108">
        <v>310200</v>
      </c>
      <c r="B386" s="73" t="s">
        <v>239</v>
      </c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192"/>
      <c r="P386" s="192"/>
      <c r="Q386" s="76"/>
      <c r="R386" s="76"/>
      <c r="S386" s="76"/>
      <c r="T386" s="76"/>
      <c r="U386" s="76"/>
      <c r="V386" s="76"/>
      <c r="W386" s="76"/>
      <c r="X386" s="110">
        <f t="shared" si="100"/>
        <v>0</v>
      </c>
    </row>
    <row r="387" spans="1:24" ht="21" customHeight="1">
      <c r="A387" s="108">
        <v>310300</v>
      </c>
      <c r="B387" s="73" t="s">
        <v>240</v>
      </c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192"/>
      <c r="P387" s="192"/>
      <c r="Q387" s="76"/>
      <c r="R387" s="76"/>
      <c r="S387" s="76"/>
      <c r="T387" s="76"/>
      <c r="U387" s="76"/>
      <c r="V387" s="76"/>
      <c r="W387" s="76"/>
      <c r="X387" s="110">
        <f t="shared" si="100"/>
        <v>0</v>
      </c>
    </row>
    <row r="388" spans="1:24" ht="21" customHeight="1">
      <c r="A388" s="108">
        <v>310400</v>
      </c>
      <c r="B388" s="73" t="s">
        <v>241</v>
      </c>
      <c r="C388" s="76">
        <v>17300</v>
      </c>
      <c r="D388" s="76">
        <v>4250</v>
      </c>
      <c r="E388" s="76"/>
      <c r="F388" s="76">
        <v>2500</v>
      </c>
      <c r="G388" s="76"/>
      <c r="H388" s="76"/>
      <c r="I388" s="76"/>
      <c r="J388" s="76"/>
      <c r="K388" s="76"/>
      <c r="L388" s="76">
        <v>4700</v>
      </c>
      <c r="M388" s="76"/>
      <c r="N388" s="76"/>
      <c r="O388" s="192">
        <v>1950</v>
      </c>
      <c r="P388" s="192"/>
      <c r="Q388" s="76"/>
      <c r="R388" s="76"/>
      <c r="S388" s="76"/>
      <c r="T388" s="76"/>
      <c r="U388" s="76"/>
      <c r="V388" s="76"/>
      <c r="W388" s="76"/>
      <c r="X388" s="110">
        <f t="shared" si="100"/>
        <v>30700</v>
      </c>
    </row>
    <row r="389" spans="1:24" ht="21" customHeight="1">
      <c r="A389" s="108">
        <v>310500</v>
      </c>
      <c r="B389" s="73" t="s">
        <v>242</v>
      </c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192"/>
      <c r="P389" s="192"/>
      <c r="Q389" s="76"/>
      <c r="R389" s="76"/>
      <c r="S389" s="76"/>
      <c r="T389" s="76"/>
      <c r="U389" s="76"/>
      <c r="V389" s="76"/>
      <c r="W389" s="76"/>
      <c r="X389" s="110">
        <f t="shared" si="100"/>
        <v>0</v>
      </c>
    </row>
    <row r="390" spans="1:24" ht="21" customHeight="1">
      <c r="A390" s="111">
        <v>310600</v>
      </c>
      <c r="B390" s="74" t="s">
        <v>243</v>
      </c>
      <c r="C390" s="76"/>
      <c r="D390" s="76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193"/>
      <c r="P390" s="193"/>
      <c r="Q390" s="87"/>
      <c r="R390" s="87"/>
      <c r="S390" s="87"/>
      <c r="T390" s="87"/>
      <c r="U390" s="87"/>
      <c r="V390" s="87"/>
      <c r="W390" s="87"/>
      <c r="X390" s="113">
        <f>SUM(C390:W390)</f>
        <v>0</v>
      </c>
    </row>
    <row r="391" spans="1:24" ht="21" customHeight="1">
      <c r="A391" s="490" t="s">
        <v>230</v>
      </c>
      <c r="B391" s="491"/>
      <c r="C391" s="110">
        <f>SUM(C385:C390)</f>
        <v>17300</v>
      </c>
      <c r="D391" s="110">
        <f aca="true" t="shared" si="101" ref="D391:U391">SUM(D385:D390)</f>
        <v>4250</v>
      </c>
      <c r="E391" s="110">
        <f t="shared" si="101"/>
        <v>0</v>
      </c>
      <c r="F391" s="110">
        <f t="shared" si="101"/>
        <v>2500</v>
      </c>
      <c r="G391" s="110">
        <f t="shared" si="101"/>
        <v>0</v>
      </c>
      <c r="H391" s="110">
        <f t="shared" si="101"/>
        <v>0</v>
      </c>
      <c r="I391" s="110">
        <f t="shared" si="101"/>
        <v>0</v>
      </c>
      <c r="J391" s="110">
        <f t="shared" si="101"/>
        <v>0</v>
      </c>
      <c r="K391" s="110">
        <f t="shared" si="101"/>
        <v>0</v>
      </c>
      <c r="L391" s="110">
        <f t="shared" si="101"/>
        <v>4700</v>
      </c>
      <c r="M391" s="110">
        <f t="shared" si="101"/>
        <v>0</v>
      </c>
      <c r="N391" s="110">
        <f t="shared" si="101"/>
        <v>0</v>
      </c>
      <c r="O391" s="110">
        <f t="shared" si="101"/>
        <v>1950</v>
      </c>
      <c r="P391" s="110">
        <f t="shared" si="101"/>
        <v>0</v>
      </c>
      <c r="Q391" s="110">
        <f t="shared" si="101"/>
        <v>0</v>
      </c>
      <c r="R391" s="110">
        <f t="shared" si="101"/>
        <v>0</v>
      </c>
      <c r="S391" s="110">
        <f t="shared" si="101"/>
        <v>0</v>
      </c>
      <c r="T391" s="110">
        <f t="shared" si="101"/>
        <v>0</v>
      </c>
      <c r="U391" s="110">
        <f t="shared" si="101"/>
        <v>0</v>
      </c>
      <c r="V391" s="110">
        <f>SUM(V385:V390)</f>
        <v>0</v>
      </c>
      <c r="W391" s="110">
        <f>SUM(W385:W390)</f>
        <v>0</v>
      </c>
      <c r="X391" s="110">
        <f>SUM(C391:W391)</f>
        <v>30700</v>
      </c>
    </row>
    <row r="392" spans="1:24" ht="21" customHeight="1">
      <c r="A392" s="492" t="s">
        <v>231</v>
      </c>
      <c r="B392" s="493"/>
      <c r="C392" s="114">
        <f>+C391+C276</f>
        <v>64874</v>
      </c>
      <c r="D392" s="114">
        <f aca="true" t="shared" si="102" ref="D392:X392">+D391+D276</f>
        <v>12750</v>
      </c>
      <c r="E392" s="114">
        <f t="shared" si="102"/>
        <v>0</v>
      </c>
      <c r="F392" s="114">
        <f t="shared" si="102"/>
        <v>7500</v>
      </c>
      <c r="G392" s="114">
        <f t="shared" si="102"/>
        <v>0</v>
      </c>
      <c r="H392" s="114">
        <f t="shared" si="102"/>
        <v>0</v>
      </c>
      <c r="I392" s="114">
        <f t="shared" si="102"/>
        <v>0</v>
      </c>
      <c r="J392" s="114">
        <f t="shared" si="102"/>
        <v>0</v>
      </c>
      <c r="K392" s="114">
        <f t="shared" si="102"/>
        <v>0</v>
      </c>
      <c r="L392" s="114">
        <f t="shared" si="102"/>
        <v>16037</v>
      </c>
      <c r="M392" s="114">
        <f t="shared" si="102"/>
        <v>0</v>
      </c>
      <c r="N392" s="114">
        <f t="shared" si="102"/>
        <v>0</v>
      </c>
      <c r="O392" s="114">
        <f t="shared" si="102"/>
        <v>5850</v>
      </c>
      <c r="P392" s="114">
        <f t="shared" si="102"/>
        <v>0</v>
      </c>
      <c r="Q392" s="114">
        <f t="shared" si="102"/>
        <v>0</v>
      </c>
      <c r="R392" s="114">
        <f t="shared" si="102"/>
        <v>0</v>
      </c>
      <c r="S392" s="114">
        <f t="shared" si="102"/>
        <v>0</v>
      </c>
      <c r="T392" s="114">
        <f t="shared" si="102"/>
        <v>0</v>
      </c>
      <c r="U392" s="114">
        <f t="shared" si="102"/>
        <v>0</v>
      </c>
      <c r="V392" s="114">
        <f t="shared" si="102"/>
        <v>0</v>
      </c>
      <c r="W392" s="114">
        <f t="shared" si="102"/>
        <v>0</v>
      </c>
      <c r="X392" s="114">
        <f t="shared" si="102"/>
        <v>107011</v>
      </c>
    </row>
    <row r="393" spans="1:24" ht="21" customHeight="1">
      <c r="A393" s="488" t="s">
        <v>272</v>
      </c>
      <c r="B393" s="489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95"/>
      <c r="P393" s="195"/>
      <c r="Q393" s="115"/>
      <c r="R393" s="115"/>
      <c r="S393" s="115"/>
      <c r="T393" s="115"/>
      <c r="U393" s="115"/>
      <c r="V393" s="115"/>
      <c r="W393" s="115"/>
      <c r="X393" s="116">
        <f>SUM(C393:W393)</f>
        <v>0</v>
      </c>
    </row>
    <row r="394" spans="1:24" ht="21" customHeight="1">
      <c r="A394" s="108">
        <v>320100</v>
      </c>
      <c r="B394" s="73" t="s">
        <v>244</v>
      </c>
      <c r="C394" s="76">
        <f>7000+7000+1500+1927.8+3200+3600+3600+700+40000</f>
        <v>68527.8</v>
      </c>
      <c r="D394" s="76">
        <v>13200</v>
      </c>
      <c r="E394" s="76"/>
      <c r="F394" s="76"/>
      <c r="G394" s="76">
        <f>7000+4500+7000+7000+14600</f>
        <v>40100</v>
      </c>
      <c r="H394" s="76"/>
      <c r="I394" s="76"/>
      <c r="J394" s="76">
        <f>7000+7000</f>
        <v>14000</v>
      </c>
      <c r="K394" s="76"/>
      <c r="L394" s="76"/>
      <c r="M394" s="76"/>
      <c r="N394" s="76">
        <f>7000+7000+7000+7000+11583.75</f>
        <v>39583.75</v>
      </c>
      <c r="O394" s="192"/>
      <c r="P394" s="192">
        <v>4030</v>
      </c>
      <c r="Q394" s="76"/>
      <c r="R394" s="76"/>
      <c r="S394" s="76"/>
      <c r="T394" s="76"/>
      <c r="U394" s="76"/>
      <c r="V394" s="76">
        <f>8000+13855</f>
        <v>21855</v>
      </c>
      <c r="W394" s="76"/>
      <c r="X394" s="110">
        <f>SUM(C394:W394)</f>
        <v>201296.55</v>
      </c>
    </row>
    <row r="395" spans="1:24" ht="21" customHeight="1">
      <c r="A395" s="108">
        <v>320200</v>
      </c>
      <c r="B395" s="73" t="s">
        <v>245</v>
      </c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192"/>
      <c r="P395" s="192"/>
      <c r="Q395" s="76"/>
      <c r="R395" s="76"/>
      <c r="S395" s="76"/>
      <c r="T395" s="76"/>
      <c r="U395" s="76"/>
      <c r="V395" s="76"/>
      <c r="W395" s="76"/>
      <c r="X395" s="110">
        <f>SUM(C395:W395)</f>
        <v>0</v>
      </c>
    </row>
    <row r="396" spans="1:24" ht="21" customHeight="1">
      <c r="A396" s="108">
        <v>320300</v>
      </c>
      <c r="B396" s="73" t="s">
        <v>246</v>
      </c>
      <c r="C396" s="76">
        <v>3978</v>
      </c>
      <c r="D396" s="76"/>
      <c r="E396" s="76"/>
      <c r="F396" s="76">
        <f>8800+4400</f>
        <v>13200</v>
      </c>
      <c r="G396" s="76"/>
      <c r="H396" s="76">
        <f>148800+131200</f>
        <v>280000</v>
      </c>
      <c r="I396" s="76"/>
      <c r="J396" s="76"/>
      <c r="K396" s="76"/>
      <c r="L396" s="76"/>
      <c r="M396" s="76"/>
      <c r="N396" s="76"/>
      <c r="O396" s="192"/>
      <c r="P396" s="192"/>
      <c r="Q396" s="76"/>
      <c r="R396" s="76">
        <f>98480+12000+3200</f>
        <v>113680</v>
      </c>
      <c r="S396" s="76"/>
      <c r="T396" s="76"/>
      <c r="U396" s="76"/>
      <c r="V396" s="76"/>
      <c r="W396" s="76"/>
      <c r="X396" s="110">
        <f>SUM(C396:W396)</f>
        <v>410858</v>
      </c>
    </row>
    <row r="397" spans="1:24" ht="21" customHeight="1">
      <c r="A397" s="111">
        <v>320400</v>
      </c>
      <c r="B397" s="74" t="s">
        <v>247</v>
      </c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193"/>
      <c r="P397" s="193"/>
      <c r="Q397" s="87"/>
      <c r="R397" s="87"/>
      <c r="S397" s="87"/>
      <c r="T397" s="87"/>
      <c r="U397" s="87"/>
      <c r="V397" s="87">
        <v>2730</v>
      </c>
      <c r="W397" s="87"/>
      <c r="X397" s="110">
        <f>SUM(C397:W397)</f>
        <v>2730</v>
      </c>
    </row>
    <row r="398" spans="1:26" ht="21" customHeight="1">
      <c r="A398" s="490" t="s">
        <v>230</v>
      </c>
      <c r="B398" s="491"/>
      <c r="C398" s="110">
        <f>SUM(C394:C397)</f>
        <v>72505.8</v>
      </c>
      <c r="D398" s="110">
        <f aca="true" t="shared" si="103" ref="D398:L398">SUM(D394:D397)</f>
        <v>13200</v>
      </c>
      <c r="E398" s="110">
        <f t="shared" si="103"/>
        <v>0</v>
      </c>
      <c r="F398" s="110">
        <f t="shared" si="103"/>
        <v>13200</v>
      </c>
      <c r="G398" s="110">
        <f t="shared" si="103"/>
        <v>40100</v>
      </c>
      <c r="H398" s="110">
        <f t="shared" si="103"/>
        <v>280000</v>
      </c>
      <c r="I398" s="110">
        <f t="shared" si="103"/>
        <v>0</v>
      </c>
      <c r="J398" s="110">
        <f t="shared" si="103"/>
        <v>14000</v>
      </c>
      <c r="K398" s="110">
        <f t="shared" si="103"/>
        <v>0</v>
      </c>
      <c r="L398" s="110">
        <f t="shared" si="103"/>
        <v>0</v>
      </c>
      <c r="M398" s="110">
        <f aca="true" t="shared" si="104" ref="M398:W398">SUM(M394:M397)</f>
        <v>0</v>
      </c>
      <c r="N398" s="110">
        <f t="shared" si="104"/>
        <v>39583.75</v>
      </c>
      <c r="O398" s="110">
        <f t="shared" si="104"/>
        <v>0</v>
      </c>
      <c r="P398" s="110">
        <f t="shared" si="104"/>
        <v>4030</v>
      </c>
      <c r="Q398" s="110">
        <f t="shared" si="104"/>
        <v>0</v>
      </c>
      <c r="R398" s="110">
        <f t="shared" si="104"/>
        <v>113680</v>
      </c>
      <c r="S398" s="110">
        <f t="shared" si="104"/>
        <v>0</v>
      </c>
      <c r="T398" s="110">
        <f t="shared" si="104"/>
        <v>0</v>
      </c>
      <c r="U398" s="110">
        <f t="shared" si="104"/>
        <v>0</v>
      </c>
      <c r="V398" s="110">
        <f t="shared" si="104"/>
        <v>24585</v>
      </c>
      <c r="W398" s="110">
        <f t="shared" si="104"/>
        <v>0</v>
      </c>
      <c r="X398" s="110">
        <f>SUM(X394:X397)</f>
        <v>614884.55</v>
      </c>
      <c r="Y398" s="106">
        <f>623284.55+7200</f>
        <v>630484.55</v>
      </c>
      <c r="Z398" s="124">
        <f>+Y398-X398</f>
        <v>15600</v>
      </c>
    </row>
    <row r="399" spans="1:25" ht="21" customHeight="1">
      <c r="A399" s="492" t="s">
        <v>231</v>
      </c>
      <c r="B399" s="493"/>
      <c r="C399" s="114">
        <f>+C398+C283</f>
        <v>198234.91</v>
      </c>
      <c r="D399" s="114">
        <f aca="true" t="shared" si="105" ref="D399:X399">+D398+D283</f>
        <v>37708.8</v>
      </c>
      <c r="E399" s="114">
        <f t="shared" si="105"/>
        <v>0</v>
      </c>
      <c r="F399" s="114">
        <f t="shared" si="105"/>
        <v>22950</v>
      </c>
      <c r="G399" s="114">
        <f t="shared" si="105"/>
        <v>91100</v>
      </c>
      <c r="H399" s="114">
        <f t="shared" si="105"/>
        <v>490000</v>
      </c>
      <c r="I399" s="114">
        <f t="shared" si="105"/>
        <v>0</v>
      </c>
      <c r="J399" s="114">
        <f t="shared" si="105"/>
        <v>42000</v>
      </c>
      <c r="K399" s="114">
        <f t="shared" si="105"/>
        <v>0</v>
      </c>
      <c r="L399" s="114">
        <f t="shared" si="105"/>
        <v>10960</v>
      </c>
      <c r="M399" s="114">
        <f t="shared" si="105"/>
        <v>0</v>
      </c>
      <c r="N399" s="114">
        <f t="shared" si="105"/>
        <v>131687.5</v>
      </c>
      <c r="O399" s="114">
        <f t="shared" si="105"/>
        <v>0</v>
      </c>
      <c r="P399" s="114">
        <f t="shared" si="105"/>
        <v>69460</v>
      </c>
      <c r="Q399" s="114">
        <f t="shared" si="105"/>
        <v>0</v>
      </c>
      <c r="R399" s="114">
        <f t="shared" si="105"/>
        <v>119430</v>
      </c>
      <c r="S399" s="114">
        <f t="shared" si="105"/>
        <v>0</v>
      </c>
      <c r="T399" s="114">
        <f t="shared" si="105"/>
        <v>0</v>
      </c>
      <c r="U399" s="114">
        <f t="shared" si="105"/>
        <v>0</v>
      </c>
      <c r="V399" s="114">
        <f t="shared" si="105"/>
        <v>40585</v>
      </c>
      <c r="W399" s="114">
        <f t="shared" si="105"/>
        <v>0</v>
      </c>
      <c r="X399" s="114">
        <f t="shared" si="105"/>
        <v>1254116.21</v>
      </c>
      <c r="Y399" s="106">
        <v>1269716.21</v>
      </c>
    </row>
    <row r="400" spans="1:25" ht="21" customHeight="1">
      <c r="A400" s="488" t="s">
        <v>273</v>
      </c>
      <c r="B400" s="489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95"/>
      <c r="P400" s="195"/>
      <c r="Q400" s="115"/>
      <c r="R400" s="115"/>
      <c r="S400" s="115"/>
      <c r="T400" s="115"/>
      <c r="U400" s="115"/>
      <c r="V400" s="115"/>
      <c r="W400" s="115"/>
      <c r="X400" s="116">
        <f>SUM(C400:W400)</f>
        <v>0</v>
      </c>
      <c r="Y400" s="106">
        <f>+X399-Y399</f>
        <v>-15600</v>
      </c>
    </row>
    <row r="401" spans="1:24" ht="21" customHeight="1">
      <c r="A401" s="108">
        <v>330100</v>
      </c>
      <c r="B401" s="73" t="s">
        <v>248</v>
      </c>
      <c r="C401" s="76"/>
      <c r="D401" s="76">
        <v>26370</v>
      </c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192"/>
      <c r="P401" s="192"/>
      <c r="Q401" s="76"/>
      <c r="R401" s="76"/>
      <c r="S401" s="76"/>
      <c r="T401" s="76"/>
      <c r="U401" s="76"/>
      <c r="V401" s="76"/>
      <c r="W401" s="76"/>
      <c r="X401" s="110">
        <f>SUM(C401:W401)</f>
        <v>26370</v>
      </c>
    </row>
    <row r="402" spans="1:24" ht="21" customHeight="1" hidden="1">
      <c r="A402" s="108">
        <v>330200</v>
      </c>
      <c r="B402" s="73" t="s">
        <v>249</v>
      </c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192"/>
      <c r="P402" s="192"/>
      <c r="Q402" s="76"/>
      <c r="R402" s="76"/>
      <c r="S402" s="76"/>
      <c r="T402" s="76"/>
      <c r="U402" s="76"/>
      <c r="V402" s="76"/>
      <c r="W402" s="76"/>
      <c r="X402" s="110">
        <f aca="true" t="shared" si="106" ref="X402:X408">SUM(C402:W402)</f>
        <v>0</v>
      </c>
    </row>
    <row r="403" spans="1:24" ht="21" customHeight="1">
      <c r="A403" s="108">
        <v>330300</v>
      </c>
      <c r="B403" s="73" t="s">
        <v>326</v>
      </c>
      <c r="C403" s="76">
        <v>1000</v>
      </c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192"/>
      <c r="P403" s="192"/>
      <c r="Q403" s="76"/>
      <c r="R403" s="76"/>
      <c r="S403" s="76"/>
      <c r="T403" s="76"/>
      <c r="U403" s="76"/>
      <c r="V403" s="76"/>
      <c r="W403" s="76"/>
      <c r="X403" s="110">
        <f t="shared" si="106"/>
        <v>1000</v>
      </c>
    </row>
    <row r="404" spans="1:24" ht="21" customHeight="1">
      <c r="A404" s="108">
        <v>330400</v>
      </c>
      <c r="B404" s="73" t="s">
        <v>274</v>
      </c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192"/>
      <c r="P404" s="192"/>
      <c r="Q404" s="76"/>
      <c r="R404" s="76"/>
      <c r="S404" s="76"/>
      <c r="T404" s="76"/>
      <c r="U404" s="76"/>
      <c r="V404" s="76"/>
      <c r="W404" s="76"/>
      <c r="X404" s="110">
        <f t="shared" si="106"/>
        <v>0</v>
      </c>
    </row>
    <row r="405" spans="1:24" ht="21" customHeight="1">
      <c r="A405" s="108">
        <v>330600</v>
      </c>
      <c r="B405" s="73" t="s">
        <v>250</v>
      </c>
      <c r="C405" s="76">
        <v>4088</v>
      </c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192"/>
      <c r="P405" s="192"/>
      <c r="Q405" s="76"/>
      <c r="R405" s="76"/>
      <c r="S405" s="76"/>
      <c r="T405" s="76"/>
      <c r="U405" s="76">
        <v>24200</v>
      </c>
      <c r="V405" s="76">
        <v>18186</v>
      </c>
      <c r="W405" s="76"/>
      <c r="X405" s="110">
        <f t="shared" si="106"/>
        <v>46474</v>
      </c>
    </row>
    <row r="406" spans="1:24" ht="21" customHeight="1">
      <c r="A406" s="108">
        <v>330700</v>
      </c>
      <c r="B406" s="73" t="s">
        <v>494</v>
      </c>
      <c r="C406" s="76">
        <v>11200</v>
      </c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192"/>
      <c r="P406" s="192"/>
      <c r="Q406" s="76"/>
      <c r="R406" s="76"/>
      <c r="S406" s="76"/>
      <c r="T406" s="76"/>
      <c r="U406" s="76"/>
      <c r="V406" s="76"/>
      <c r="W406" s="76"/>
      <c r="X406" s="110">
        <f t="shared" si="106"/>
        <v>11200</v>
      </c>
    </row>
    <row r="407" spans="1:24" ht="21" customHeight="1">
      <c r="A407" s="108">
        <v>330800</v>
      </c>
      <c r="B407" s="73" t="s">
        <v>251</v>
      </c>
      <c r="C407" s="76">
        <v>23500</v>
      </c>
      <c r="D407" s="76"/>
      <c r="E407" s="76"/>
      <c r="F407" s="76"/>
      <c r="G407" s="76"/>
      <c r="H407" s="76"/>
      <c r="I407" s="76"/>
      <c r="J407" s="76">
        <v>6500</v>
      </c>
      <c r="K407" s="76"/>
      <c r="L407" s="76"/>
      <c r="M407" s="76"/>
      <c r="N407" s="76">
        <v>26500</v>
      </c>
      <c r="O407" s="192"/>
      <c r="P407" s="192"/>
      <c r="Q407" s="76"/>
      <c r="R407" s="76"/>
      <c r="S407" s="76"/>
      <c r="T407" s="76"/>
      <c r="U407" s="76"/>
      <c r="V407" s="76"/>
      <c r="W407" s="76"/>
      <c r="X407" s="110">
        <f t="shared" si="106"/>
        <v>56500</v>
      </c>
    </row>
    <row r="408" spans="1:24" ht="21" customHeight="1">
      <c r="A408" s="108">
        <v>330900</v>
      </c>
      <c r="B408" s="73" t="s">
        <v>253</v>
      </c>
      <c r="C408" s="76"/>
      <c r="D408" s="76"/>
      <c r="E408" s="76"/>
      <c r="F408" s="76"/>
      <c r="G408" s="76"/>
      <c r="H408" s="76"/>
      <c r="I408" s="76"/>
      <c r="J408" s="76">
        <v>4630</v>
      </c>
      <c r="K408" s="76"/>
      <c r="L408" s="76"/>
      <c r="M408" s="76"/>
      <c r="N408" s="76"/>
      <c r="O408" s="192"/>
      <c r="P408" s="192"/>
      <c r="Q408" s="76"/>
      <c r="R408" s="76"/>
      <c r="S408" s="76"/>
      <c r="T408" s="76"/>
      <c r="U408" s="76"/>
      <c r="V408" s="76"/>
      <c r="W408" s="76"/>
      <c r="X408" s="110">
        <f t="shared" si="106"/>
        <v>4630</v>
      </c>
    </row>
    <row r="409" spans="1:24" ht="21" customHeight="1">
      <c r="A409" s="497" t="s">
        <v>194</v>
      </c>
      <c r="B409" s="497"/>
      <c r="C409" s="496" t="s">
        <v>196</v>
      </c>
      <c r="D409" s="496"/>
      <c r="E409" s="499" t="s">
        <v>199</v>
      </c>
      <c r="F409" s="500"/>
      <c r="G409" s="496" t="s">
        <v>201</v>
      </c>
      <c r="H409" s="497"/>
      <c r="I409" s="499" t="s">
        <v>215</v>
      </c>
      <c r="J409" s="500"/>
      <c r="K409" s="348" t="s">
        <v>216</v>
      </c>
      <c r="L409" s="499" t="s">
        <v>217</v>
      </c>
      <c r="M409" s="501"/>
      <c r="N409" s="500"/>
      <c r="O409" s="499" t="s">
        <v>218</v>
      </c>
      <c r="P409" s="500"/>
      <c r="Q409" s="499" t="s">
        <v>219</v>
      </c>
      <c r="R409" s="501"/>
      <c r="S409" s="500"/>
      <c r="T409" s="496" t="s">
        <v>220</v>
      </c>
      <c r="U409" s="497"/>
      <c r="V409" s="348" t="s">
        <v>284</v>
      </c>
      <c r="W409" s="348" t="s">
        <v>221</v>
      </c>
      <c r="X409" s="498" t="s">
        <v>17</v>
      </c>
    </row>
    <row r="410" spans="1:24" ht="21" customHeight="1">
      <c r="A410" s="497" t="s">
        <v>195</v>
      </c>
      <c r="B410" s="497"/>
      <c r="C410" s="348" t="s">
        <v>197</v>
      </c>
      <c r="D410" s="348" t="s">
        <v>198</v>
      </c>
      <c r="E410" s="348" t="s">
        <v>200</v>
      </c>
      <c r="F410" s="348" t="s">
        <v>288</v>
      </c>
      <c r="G410" s="348" t="s">
        <v>202</v>
      </c>
      <c r="H410" s="348" t="s">
        <v>203</v>
      </c>
      <c r="I410" s="348" t="s">
        <v>204</v>
      </c>
      <c r="J410" s="348" t="s">
        <v>205</v>
      </c>
      <c r="K410" s="348" t="s">
        <v>206</v>
      </c>
      <c r="L410" s="348" t="s">
        <v>207</v>
      </c>
      <c r="M410" s="348" t="s">
        <v>208</v>
      </c>
      <c r="N410" s="348" t="s">
        <v>334</v>
      </c>
      <c r="O410" s="349" t="s">
        <v>471</v>
      </c>
      <c r="P410" s="349" t="s">
        <v>209</v>
      </c>
      <c r="Q410" s="348" t="s">
        <v>210</v>
      </c>
      <c r="R410" s="348" t="s">
        <v>211</v>
      </c>
      <c r="S410" s="348" t="s">
        <v>290</v>
      </c>
      <c r="T410" s="348" t="s">
        <v>212</v>
      </c>
      <c r="U410" s="348" t="s">
        <v>213</v>
      </c>
      <c r="V410" s="348" t="s">
        <v>285</v>
      </c>
      <c r="W410" s="348" t="s">
        <v>214</v>
      </c>
      <c r="X410" s="498"/>
    </row>
    <row r="411" spans="1:24" ht="21" customHeight="1">
      <c r="A411" s="300">
        <v>331000</v>
      </c>
      <c r="B411" s="303" t="s">
        <v>462</v>
      </c>
      <c r="C411" s="304"/>
      <c r="D411" s="301"/>
      <c r="E411" s="301"/>
      <c r="F411" s="301"/>
      <c r="G411" s="301"/>
      <c r="H411" s="301"/>
      <c r="I411" s="301"/>
      <c r="J411" s="301"/>
      <c r="K411" s="301"/>
      <c r="L411" s="301"/>
      <c r="M411" s="301"/>
      <c r="N411" s="301"/>
      <c r="O411" s="302"/>
      <c r="P411" s="302"/>
      <c r="Q411" s="301"/>
      <c r="R411" s="301"/>
      <c r="S411" s="301"/>
      <c r="T411" s="301"/>
      <c r="U411" s="301"/>
      <c r="V411" s="301"/>
      <c r="W411" s="301"/>
      <c r="X411" s="110">
        <f>SUM(C411:W411)</f>
        <v>0</v>
      </c>
    </row>
    <row r="412" spans="1:24" ht="21" customHeight="1">
      <c r="A412" s="108">
        <v>331200</v>
      </c>
      <c r="B412" s="73" t="s">
        <v>254</v>
      </c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192"/>
      <c r="P412" s="192"/>
      <c r="Q412" s="76"/>
      <c r="R412" s="76"/>
      <c r="S412" s="76"/>
      <c r="T412" s="76"/>
      <c r="U412" s="76"/>
      <c r="V412" s="76"/>
      <c r="W412" s="76"/>
      <c r="X412" s="110">
        <f>SUM(C412:W412)</f>
        <v>0</v>
      </c>
    </row>
    <row r="413" spans="1:24" ht="21" customHeight="1">
      <c r="A413" s="108">
        <v>331300</v>
      </c>
      <c r="B413" s="73" t="s">
        <v>255</v>
      </c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192"/>
      <c r="P413" s="192"/>
      <c r="Q413" s="76">
        <v>12320</v>
      </c>
      <c r="R413" s="76"/>
      <c r="S413" s="76"/>
      <c r="T413" s="76"/>
      <c r="U413" s="76"/>
      <c r="V413" s="76"/>
      <c r="W413" s="76"/>
      <c r="X413" s="110">
        <f>SUM(C413:W413)</f>
        <v>12320</v>
      </c>
    </row>
    <row r="414" spans="1:24" ht="21" customHeight="1">
      <c r="A414" s="108">
        <v>331400</v>
      </c>
      <c r="B414" s="73" t="s">
        <v>252</v>
      </c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192"/>
      <c r="P414" s="192"/>
      <c r="Q414" s="76"/>
      <c r="R414" s="76"/>
      <c r="S414" s="76"/>
      <c r="T414" s="76"/>
      <c r="U414" s="76"/>
      <c r="V414" s="76"/>
      <c r="W414" s="76"/>
      <c r="X414" s="110">
        <f>SUM(C414:W414)</f>
        <v>0</v>
      </c>
    </row>
    <row r="415" spans="1:24" ht="21" customHeight="1">
      <c r="A415" s="108">
        <v>331500</v>
      </c>
      <c r="B415" s="73" t="s">
        <v>256</v>
      </c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192"/>
      <c r="P415" s="192"/>
      <c r="Q415" s="76"/>
      <c r="R415" s="76"/>
      <c r="S415" s="76"/>
      <c r="T415" s="76"/>
      <c r="U415" s="76"/>
      <c r="V415" s="76"/>
      <c r="W415" s="76"/>
      <c r="X415" s="110">
        <f>SUM(C415:W415)</f>
        <v>0</v>
      </c>
    </row>
    <row r="416" spans="1:24" ht="21" customHeight="1">
      <c r="A416" s="111">
        <v>331700</v>
      </c>
      <c r="B416" s="74" t="s">
        <v>257</v>
      </c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193"/>
      <c r="P416" s="193"/>
      <c r="Q416" s="87"/>
      <c r="R416" s="87"/>
      <c r="S416" s="87"/>
      <c r="T416" s="87"/>
      <c r="U416" s="87"/>
      <c r="V416" s="87"/>
      <c r="W416" s="87"/>
      <c r="X416" s="110">
        <f>SUM(C416:W416)</f>
        <v>0</v>
      </c>
    </row>
    <row r="417" spans="1:26" ht="21" customHeight="1">
      <c r="A417" s="490" t="s">
        <v>230</v>
      </c>
      <c r="B417" s="491"/>
      <c r="C417" s="110">
        <f aca="true" t="shared" si="107" ref="C417:W417">SUM(C401:C416)</f>
        <v>39788</v>
      </c>
      <c r="D417" s="110">
        <f t="shared" si="107"/>
        <v>26370</v>
      </c>
      <c r="E417" s="110">
        <f t="shared" si="107"/>
        <v>0</v>
      </c>
      <c r="F417" s="110">
        <f t="shared" si="107"/>
        <v>0</v>
      </c>
      <c r="G417" s="110">
        <f t="shared" si="107"/>
        <v>0</v>
      </c>
      <c r="H417" s="110">
        <f t="shared" si="107"/>
        <v>0</v>
      </c>
      <c r="I417" s="110">
        <f t="shared" si="107"/>
        <v>0</v>
      </c>
      <c r="J417" s="110">
        <f t="shared" si="107"/>
        <v>11130</v>
      </c>
      <c r="K417" s="110">
        <f t="shared" si="107"/>
        <v>0</v>
      </c>
      <c r="L417" s="110">
        <f t="shared" si="107"/>
        <v>0</v>
      </c>
      <c r="M417" s="110">
        <f t="shared" si="107"/>
        <v>0</v>
      </c>
      <c r="N417" s="110">
        <f t="shared" si="107"/>
        <v>26500</v>
      </c>
      <c r="O417" s="110">
        <f t="shared" si="107"/>
        <v>0</v>
      </c>
      <c r="P417" s="110">
        <f t="shared" si="107"/>
        <v>0</v>
      </c>
      <c r="Q417" s="110">
        <f t="shared" si="107"/>
        <v>12320</v>
      </c>
      <c r="R417" s="110">
        <f t="shared" si="107"/>
        <v>0</v>
      </c>
      <c r="S417" s="110">
        <f t="shared" si="107"/>
        <v>0</v>
      </c>
      <c r="T417" s="110">
        <f t="shared" si="107"/>
        <v>0</v>
      </c>
      <c r="U417" s="110">
        <f t="shared" si="107"/>
        <v>24200</v>
      </c>
      <c r="V417" s="110">
        <f t="shared" si="107"/>
        <v>18186</v>
      </c>
      <c r="W417" s="110">
        <f t="shared" si="107"/>
        <v>0</v>
      </c>
      <c r="X417" s="110">
        <f>SUM(X401:X416)</f>
        <v>158494</v>
      </c>
      <c r="Y417" s="106">
        <v>158494</v>
      </c>
      <c r="Z417" s="124">
        <f>+Y417-X417</f>
        <v>0</v>
      </c>
    </row>
    <row r="418" spans="1:24" ht="21" customHeight="1">
      <c r="A418" s="492" t="s">
        <v>231</v>
      </c>
      <c r="B418" s="493"/>
      <c r="C418" s="114">
        <f>+C417+C302</f>
        <v>176856</v>
      </c>
      <c r="D418" s="114">
        <f aca="true" t="shared" si="108" ref="D418:X418">+D417+D302</f>
        <v>51340</v>
      </c>
      <c r="E418" s="114">
        <f t="shared" si="108"/>
        <v>0</v>
      </c>
      <c r="F418" s="114">
        <f t="shared" si="108"/>
        <v>0</v>
      </c>
      <c r="G418" s="114">
        <f t="shared" si="108"/>
        <v>0</v>
      </c>
      <c r="H418" s="114">
        <f t="shared" si="108"/>
        <v>0</v>
      </c>
      <c r="I418" s="114">
        <f t="shared" si="108"/>
        <v>0</v>
      </c>
      <c r="J418" s="114">
        <f t="shared" si="108"/>
        <v>23130</v>
      </c>
      <c r="K418" s="114">
        <f t="shared" si="108"/>
        <v>0</v>
      </c>
      <c r="L418" s="114">
        <f t="shared" si="108"/>
        <v>11880</v>
      </c>
      <c r="M418" s="114">
        <f t="shared" si="108"/>
        <v>0</v>
      </c>
      <c r="N418" s="114">
        <f t="shared" si="108"/>
        <v>119960</v>
      </c>
      <c r="O418" s="114">
        <f t="shared" si="108"/>
        <v>0</v>
      </c>
      <c r="P418" s="114">
        <f t="shared" si="108"/>
        <v>0</v>
      </c>
      <c r="Q418" s="114">
        <f t="shared" si="108"/>
        <v>24870</v>
      </c>
      <c r="R418" s="114">
        <f t="shared" si="108"/>
        <v>0</v>
      </c>
      <c r="S418" s="114">
        <f t="shared" si="108"/>
        <v>0</v>
      </c>
      <c r="T418" s="114">
        <f t="shared" si="108"/>
        <v>0</v>
      </c>
      <c r="U418" s="114">
        <f t="shared" si="108"/>
        <v>24200</v>
      </c>
      <c r="V418" s="114">
        <f t="shared" si="108"/>
        <v>18186</v>
      </c>
      <c r="W418" s="114">
        <f t="shared" si="108"/>
        <v>0</v>
      </c>
      <c r="X418" s="114">
        <f t="shared" si="108"/>
        <v>450422</v>
      </c>
    </row>
    <row r="419" spans="1:24" ht="21" customHeight="1">
      <c r="A419" s="488" t="s">
        <v>275</v>
      </c>
      <c r="B419" s="489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95"/>
      <c r="P419" s="195"/>
      <c r="Q419" s="115"/>
      <c r="R419" s="115"/>
      <c r="S419" s="115"/>
      <c r="T419" s="115"/>
      <c r="U419" s="115"/>
      <c r="V419" s="115"/>
      <c r="W419" s="115"/>
      <c r="X419" s="116">
        <f>SUM(C419:W419)</f>
        <v>0</v>
      </c>
    </row>
    <row r="420" spans="1:24" ht="21" customHeight="1">
      <c r="A420" s="108">
        <v>340100</v>
      </c>
      <c r="B420" s="73" t="s">
        <v>258</v>
      </c>
      <c r="C420" s="76">
        <v>15180.37</v>
      </c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192"/>
      <c r="P420" s="192"/>
      <c r="Q420" s="76"/>
      <c r="R420" s="76"/>
      <c r="S420" s="76"/>
      <c r="T420" s="76"/>
      <c r="U420" s="76"/>
      <c r="V420" s="76">
        <v>55635.71</v>
      </c>
      <c r="W420" s="76"/>
      <c r="X420" s="110">
        <f>SUM(C420:W420)</f>
        <v>70816.08</v>
      </c>
    </row>
    <row r="421" spans="1:24" ht="21" customHeight="1">
      <c r="A421" s="108">
        <v>340300</v>
      </c>
      <c r="B421" s="73" t="s">
        <v>259</v>
      </c>
      <c r="C421" s="76">
        <v>486.9</v>
      </c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192"/>
      <c r="P421" s="192"/>
      <c r="Q421" s="76"/>
      <c r="R421" s="76"/>
      <c r="S421" s="76"/>
      <c r="T421" s="76"/>
      <c r="U421" s="76"/>
      <c r="V421" s="76"/>
      <c r="W421" s="76"/>
      <c r="X421" s="110">
        <f>SUM(C421:W421)</f>
        <v>486.9</v>
      </c>
    </row>
    <row r="422" spans="1:24" ht="21" customHeight="1">
      <c r="A422" s="108">
        <v>340400</v>
      </c>
      <c r="B422" s="73" t="s">
        <v>260</v>
      </c>
      <c r="C422" s="76">
        <v>7058</v>
      </c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192"/>
      <c r="P422" s="192"/>
      <c r="Q422" s="76"/>
      <c r="R422" s="76"/>
      <c r="S422" s="76"/>
      <c r="T422" s="76"/>
      <c r="U422" s="76"/>
      <c r="V422" s="76"/>
      <c r="W422" s="76"/>
      <c r="X422" s="110">
        <f>SUM(C422:W422)</f>
        <v>7058</v>
      </c>
    </row>
    <row r="423" spans="1:24" ht="21" customHeight="1">
      <c r="A423" s="111">
        <v>340500</v>
      </c>
      <c r="B423" s="74" t="s">
        <v>261</v>
      </c>
      <c r="C423" s="76">
        <v>8560</v>
      </c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193"/>
      <c r="P423" s="193"/>
      <c r="Q423" s="87"/>
      <c r="R423" s="87"/>
      <c r="S423" s="87"/>
      <c r="T423" s="87"/>
      <c r="U423" s="87"/>
      <c r="V423" s="87"/>
      <c r="W423" s="87"/>
      <c r="X423" s="113">
        <f>SUM(C423:W423)</f>
        <v>8560</v>
      </c>
    </row>
    <row r="424" spans="1:24" ht="21" customHeight="1">
      <c r="A424" s="490" t="s">
        <v>230</v>
      </c>
      <c r="B424" s="491"/>
      <c r="C424" s="110">
        <f>SUM(C420:C423)</f>
        <v>31285.27</v>
      </c>
      <c r="D424" s="110">
        <f aca="true" t="shared" si="109" ref="D424:X424">SUM(D420:D423)</f>
        <v>0</v>
      </c>
      <c r="E424" s="110">
        <f t="shared" si="109"/>
        <v>0</v>
      </c>
      <c r="F424" s="110">
        <f t="shared" si="109"/>
        <v>0</v>
      </c>
      <c r="G424" s="110">
        <f t="shared" si="109"/>
        <v>0</v>
      </c>
      <c r="H424" s="110">
        <f t="shared" si="109"/>
        <v>0</v>
      </c>
      <c r="I424" s="110">
        <f t="shared" si="109"/>
        <v>0</v>
      </c>
      <c r="J424" s="110">
        <f t="shared" si="109"/>
        <v>0</v>
      </c>
      <c r="K424" s="110">
        <f t="shared" si="109"/>
        <v>0</v>
      </c>
      <c r="L424" s="110">
        <f t="shared" si="109"/>
        <v>0</v>
      </c>
      <c r="M424" s="110">
        <f t="shared" si="109"/>
        <v>0</v>
      </c>
      <c r="N424" s="110">
        <f t="shared" si="109"/>
        <v>0</v>
      </c>
      <c r="O424" s="110">
        <f t="shared" si="109"/>
        <v>0</v>
      </c>
      <c r="P424" s="110">
        <f t="shared" si="109"/>
        <v>0</v>
      </c>
      <c r="Q424" s="110">
        <f t="shared" si="109"/>
        <v>0</v>
      </c>
      <c r="R424" s="110">
        <f t="shared" si="109"/>
        <v>0</v>
      </c>
      <c r="S424" s="110">
        <f t="shared" si="109"/>
        <v>0</v>
      </c>
      <c r="T424" s="110">
        <f t="shared" si="109"/>
        <v>0</v>
      </c>
      <c r="U424" s="110">
        <f t="shared" si="109"/>
        <v>0</v>
      </c>
      <c r="V424" s="110">
        <f t="shared" si="109"/>
        <v>55635.71</v>
      </c>
      <c r="W424" s="110">
        <f t="shared" si="109"/>
        <v>0</v>
      </c>
      <c r="X424" s="110">
        <f t="shared" si="109"/>
        <v>86920.98</v>
      </c>
    </row>
    <row r="425" spans="1:24" ht="21" customHeight="1">
      <c r="A425" s="492" t="s">
        <v>231</v>
      </c>
      <c r="B425" s="493"/>
      <c r="C425" s="114">
        <f>+C424+C309</f>
        <v>133501.72999999998</v>
      </c>
      <c r="D425" s="114">
        <f aca="true" t="shared" si="110" ref="D425:X425">+D424+D309</f>
        <v>0</v>
      </c>
      <c r="E425" s="114">
        <f t="shared" si="110"/>
        <v>0</v>
      </c>
      <c r="F425" s="114">
        <f t="shared" si="110"/>
        <v>0</v>
      </c>
      <c r="G425" s="114">
        <f t="shared" si="110"/>
        <v>0</v>
      </c>
      <c r="H425" s="114">
        <f t="shared" si="110"/>
        <v>0</v>
      </c>
      <c r="I425" s="114">
        <f t="shared" si="110"/>
        <v>0</v>
      </c>
      <c r="J425" s="114">
        <f t="shared" si="110"/>
        <v>0</v>
      </c>
      <c r="K425" s="114">
        <f t="shared" si="110"/>
        <v>0</v>
      </c>
      <c r="L425" s="114">
        <f t="shared" si="110"/>
        <v>0</v>
      </c>
      <c r="M425" s="114">
        <f t="shared" si="110"/>
        <v>0</v>
      </c>
      <c r="N425" s="114">
        <f t="shared" si="110"/>
        <v>0</v>
      </c>
      <c r="O425" s="114">
        <f t="shared" si="110"/>
        <v>0</v>
      </c>
      <c r="P425" s="114">
        <f t="shared" si="110"/>
        <v>0</v>
      </c>
      <c r="Q425" s="114">
        <f t="shared" si="110"/>
        <v>0</v>
      </c>
      <c r="R425" s="114">
        <f t="shared" si="110"/>
        <v>0</v>
      </c>
      <c r="S425" s="114">
        <f t="shared" si="110"/>
        <v>0</v>
      </c>
      <c r="T425" s="114">
        <f t="shared" si="110"/>
        <v>0</v>
      </c>
      <c r="U425" s="114">
        <f t="shared" si="110"/>
        <v>0</v>
      </c>
      <c r="V425" s="114">
        <f t="shared" si="110"/>
        <v>215820.48</v>
      </c>
      <c r="W425" s="114">
        <f t="shared" si="110"/>
        <v>0</v>
      </c>
      <c r="X425" s="114">
        <f t="shared" si="110"/>
        <v>349322.20999999996</v>
      </c>
    </row>
    <row r="426" spans="1:24" ht="21" customHeight="1">
      <c r="A426" s="488" t="s">
        <v>276</v>
      </c>
      <c r="B426" s="489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95"/>
      <c r="P426" s="195"/>
      <c r="Q426" s="115"/>
      <c r="R426" s="115"/>
      <c r="S426" s="115"/>
      <c r="T426" s="115"/>
      <c r="U426" s="115"/>
      <c r="V426" s="115"/>
      <c r="W426" s="115"/>
      <c r="X426" s="116">
        <f aca="true" t="shared" si="111" ref="X426:X438">SUM(C426:W426)</f>
        <v>0</v>
      </c>
    </row>
    <row r="427" spans="1:24" ht="21" customHeight="1">
      <c r="A427" s="108">
        <v>410400</v>
      </c>
      <c r="B427" s="73" t="s">
        <v>262</v>
      </c>
      <c r="C427" s="76">
        <v>99000</v>
      </c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192"/>
      <c r="P427" s="192"/>
      <c r="Q427" s="76"/>
      <c r="R427" s="76"/>
      <c r="S427" s="76"/>
      <c r="T427" s="76"/>
      <c r="U427" s="76"/>
      <c r="V427" s="76"/>
      <c r="W427" s="76"/>
      <c r="X427" s="110">
        <f t="shared" si="111"/>
        <v>99000</v>
      </c>
    </row>
    <row r="428" spans="1:24" ht="21" customHeight="1">
      <c r="A428" s="108">
        <v>410200</v>
      </c>
      <c r="B428" s="73" t="s">
        <v>310</v>
      </c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192"/>
      <c r="P428" s="192"/>
      <c r="Q428" s="76"/>
      <c r="R428" s="76"/>
      <c r="S428" s="76"/>
      <c r="T428" s="76"/>
      <c r="U428" s="76"/>
      <c r="V428" s="76"/>
      <c r="W428" s="76"/>
      <c r="X428" s="110">
        <f t="shared" si="111"/>
        <v>0</v>
      </c>
    </row>
    <row r="429" spans="1:24" ht="21" customHeight="1">
      <c r="A429" s="108">
        <v>410300</v>
      </c>
      <c r="B429" s="73" t="s">
        <v>263</v>
      </c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192"/>
      <c r="P429" s="192"/>
      <c r="Q429" s="76"/>
      <c r="R429" s="76"/>
      <c r="S429" s="76"/>
      <c r="T429" s="76"/>
      <c r="U429" s="76"/>
      <c r="V429" s="76"/>
      <c r="W429" s="76"/>
      <c r="X429" s="110">
        <f t="shared" si="111"/>
        <v>0</v>
      </c>
    </row>
    <row r="430" spans="1:24" ht="21" customHeight="1">
      <c r="A430" s="108">
        <v>410400</v>
      </c>
      <c r="B430" s="73" t="s">
        <v>311</v>
      </c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193"/>
      <c r="P430" s="193"/>
      <c r="Q430" s="87"/>
      <c r="R430" s="87"/>
      <c r="S430" s="87"/>
      <c r="T430" s="87"/>
      <c r="U430" s="87"/>
      <c r="V430" s="87"/>
      <c r="W430" s="87"/>
      <c r="X430" s="110">
        <f t="shared" si="111"/>
        <v>0</v>
      </c>
    </row>
    <row r="431" spans="1:24" ht="21" customHeight="1">
      <c r="A431" s="108">
        <v>410500</v>
      </c>
      <c r="B431" s="73" t="s">
        <v>312</v>
      </c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193"/>
      <c r="P431" s="193"/>
      <c r="Q431" s="87"/>
      <c r="R431" s="87"/>
      <c r="S431" s="87"/>
      <c r="T431" s="87"/>
      <c r="U431" s="87"/>
      <c r="V431" s="87"/>
      <c r="W431" s="87"/>
      <c r="X431" s="110">
        <f t="shared" si="111"/>
        <v>0</v>
      </c>
    </row>
    <row r="432" spans="1:24" ht="21" customHeight="1">
      <c r="A432" s="108">
        <v>410600</v>
      </c>
      <c r="B432" s="73" t="s">
        <v>313</v>
      </c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193"/>
      <c r="P432" s="193"/>
      <c r="Q432" s="87"/>
      <c r="R432" s="87"/>
      <c r="S432" s="87"/>
      <c r="T432" s="87"/>
      <c r="U432" s="87"/>
      <c r="V432" s="87"/>
      <c r="W432" s="87"/>
      <c r="X432" s="110">
        <f t="shared" si="111"/>
        <v>0</v>
      </c>
    </row>
    <row r="433" spans="1:24" ht="21" customHeight="1">
      <c r="A433" s="108">
        <v>410700</v>
      </c>
      <c r="B433" s="73" t="s">
        <v>264</v>
      </c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192"/>
      <c r="P433" s="192"/>
      <c r="Q433" s="76"/>
      <c r="R433" s="76"/>
      <c r="S433" s="76"/>
      <c r="T433" s="76"/>
      <c r="U433" s="76"/>
      <c r="V433" s="76"/>
      <c r="W433" s="76"/>
      <c r="X433" s="110">
        <f t="shared" si="111"/>
        <v>0</v>
      </c>
    </row>
    <row r="434" spans="1:24" ht="21" customHeight="1">
      <c r="A434" s="108">
        <v>410800</v>
      </c>
      <c r="B434" s="73" t="s">
        <v>314</v>
      </c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193"/>
      <c r="P434" s="193"/>
      <c r="Q434" s="87"/>
      <c r="R434" s="87"/>
      <c r="S434" s="87"/>
      <c r="T434" s="87"/>
      <c r="U434" s="87"/>
      <c r="V434" s="87"/>
      <c r="W434" s="87"/>
      <c r="X434" s="110">
        <f t="shared" si="111"/>
        <v>0</v>
      </c>
    </row>
    <row r="435" spans="1:24" ht="21" customHeight="1">
      <c r="A435" s="108">
        <v>410900</v>
      </c>
      <c r="B435" s="73" t="s">
        <v>347</v>
      </c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193"/>
      <c r="P435" s="193"/>
      <c r="Q435" s="87"/>
      <c r="R435" s="87"/>
      <c r="S435" s="87"/>
      <c r="T435" s="87"/>
      <c r="U435" s="87"/>
      <c r="V435" s="87"/>
      <c r="W435" s="87"/>
      <c r="X435" s="110">
        <f t="shared" si="111"/>
        <v>0</v>
      </c>
    </row>
    <row r="436" spans="1:24" ht="21" customHeight="1">
      <c r="A436" s="108">
        <v>411000</v>
      </c>
      <c r="B436" s="73" t="s">
        <v>449</v>
      </c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193"/>
      <c r="P436" s="193"/>
      <c r="Q436" s="87"/>
      <c r="R436" s="87"/>
      <c r="S436" s="87"/>
      <c r="T436" s="87"/>
      <c r="U436" s="87"/>
      <c r="V436" s="87"/>
      <c r="W436" s="87"/>
      <c r="X436" s="110">
        <f t="shared" si="111"/>
        <v>0</v>
      </c>
    </row>
    <row r="437" spans="1:24" ht="21" customHeight="1">
      <c r="A437" s="108">
        <v>411100</v>
      </c>
      <c r="B437" s="73" t="s">
        <v>371</v>
      </c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193"/>
      <c r="P437" s="193"/>
      <c r="Q437" s="87"/>
      <c r="R437" s="87"/>
      <c r="S437" s="87"/>
      <c r="T437" s="87"/>
      <c r="U437" s="87"/>
      <c r="V437" s="87"/>
      <c r="W437" s="87"/>
      <c r="X437" s="110">
        <f t="shared" si="111"/>
        <v>0</v>
      </c>
    </row>
    <row r="438" spans="1:24" ht="21" customHeight="1" hidden="1">
      <c r="A438" s="108">
        <v>411300</v>
      </c>
      <c r="B438" s="73" t="s">
        <v>450</v>
      </c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193"/>
      <c r="P438" s="193"/>
      <c r="Q438" s="87"/>
      <c r="R438" s="87"/>
      <c r="S438" s="87"/>
      <c r="T438" s="87"/>
      <c r="U438" s="87"/>
      <c r="V438" s="87"/>
      <c r="W438" s="87"/>
      <c r="X438" s="110">
        <f t="shared" si="111"/>
        <v>0</v>
      </c>
    </row>
    <row r="439" spans="1:24" ht="21" customHeight="1">
      <c r="A439" s="108">
        <v>411600</v>
      </c>
      <c r="B439" s="73" t="s">
        <v>315</v>
      </c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192"/>
      <c r="P439" s="192"/>
      <c r="Q439" s="76"/>
      <c r="R439" s="76"/>
      <c r="S439" s="76"/>
      <c r="T439" s="76"/>
      <c r="U439" s="76"/>
      <c r="V439" s="76"/>
      <c r="W439" s="76"/>
      <c r="X439" s="110">
        <f>SUM(C439:W439)</f>
        <v>0</v>
      </c>
    </row>
    <row r="440" spans="1:24" ht="21" customHeight="1">
      <c r="A440" s="108">
        <v>411800</v>
      </c>
      <c r="B440" s="73" t="s">
        <v>265</v>
      </c>
      <c r="C440" s="76">
        <f>12500+5370+7350</f>
        <v>25220</v>
      </c>
      <c r="D440" s="76"/>
      <c r="E440" s="76"/>
      <c r="F440" s="76"/>
      <c r="G440" s="76"/>
      <c r="H440" s="76"/>
      <c r="I440" s="76"/>
      <c r="J440" s="76"/>
      <c r="K440" s="76"/>
      <c r="L440" s="76"/>
      <c r="M440" s="76">
        <v>0</v>
      </c>
      <c r="N440" s="76">
        <v>91950</v>
      </c>
      <c r="O440" s="192"/>
      <c r="P440" s="192"/>
      <c r="Q440" s="76"/>
      <c r="R440" s="76"/>
      <c r="S440" s="76"/>
      <c r="T440" s="76"/>
      <c r="U440" s="76"/>
      <c r="V440" s="76">
        <v>0</v>
      </c>
      <c r="W440" s="76"/>
      <c r="X440" s="110">
        <f>SUM(C440:W440)</f>
        <v>117170</v>
      </c>
    </row>
    <row r="441" spans="1:24" ht="21" customHeight="1">
      <c r="A441" s="490" t="s">
        <v>230</v>
      </c>
      <c r="B441" s="491"/>
      <c r="C441" s="110">
        <f>SUM(C427:C440)</f>
        <v>124220</v>
      </c>
      <c r="D441" s="110">
        <f aca="true" t="shared" si="112" ref="D441:O441">SUM(D427:D440)</f>
        <v>0</v>
      </c>
      <c r="E441" s="110">
        <f t="shared" si="112"/>
        <v>0</v>
      </c>
      <c r="F441" s="110">
        <f t="shared" si="112"/>
        <v>0</v>
      </c>
      <c r="G441" s="110">
        <f t="shared" si="112"/>
        <v>0</v>
      </c>
      <c r="H441" s="110">
        <f t="shared" si="112"/>
        <v>0</v>
      </c>
      <c r="I441" s="110">
        <f t="shared" si="112"/>
        <v>0</v>
      </c>
      <c r="J441" s="110">
        <f t="shared" si="112"/>
        <v>0</v>
      </c>
      <c r="K441" s="110">
        <f t="shared" si="112"/>
        <v>0</v>
      </c>
      <c r="L441" s="110">
        <f t="shared" si="112"/>
        <v>0</v>
      </c>
      <c r="M441" s="110">
        <f t="shared" si="112"/>
        <v>0</v>
      </c>
      <c r="N441" s="110">
        <f t="shared" si="112"/>
        <v>91950</v>
      </c>
      <c r="O441" s="110">
        <f t="shared" si="112"/>
        <v>0</v>
      </c>
      <c r="P441" s="194">
        <f>SUM(P427:P440)</f>
        <v>0</v>
      </c>
      <c r="Q441" s="110">
        <f>SUM(Q427:Q440)</f>
        <v>0</v>
      </c>
      <c r="R441" s="110">
        <f>SUM(R427:R440)</f>
        <v>0</v>
      </c>
      <c r="S441" s="110"/>
      <c r="T441" s="110">
        <f>SUM(T427:T440)</f>
        <v>0</v>
      </c>
      <c r="U441" s="110">
        <f>SUM(U427:U440)</f>
        <v>0</v>
      </c>
      <c r="V441" s="110">
        <f>SUM(V427:V440)</f>
        <v>0</v>
      </c>
      <c r="W441" s="110">
        <f>SUM(W427:W440)</f>
        <v>0</v>
      </c>
      <c r="X441" s="110">
        <f>SUM(C441:W441)</f>
        <v>216170</v>
      </c>
    </row>
    <row r="442" spans="1:24" ht="21" customHeight="1">
      <c r="A442" s="492" t="s">
        <v>231</v>
      </c>
      <c r="B442" s="493"/>
      <c r="C442" s="114">
        <f>+C441+C326</f>
        <v>145920</v>
      </c>
      <c r="D442" s="114">
        <f aca="true" t="shared" si="113" ref="D442:X442">+D441+D326</f>
        <v>0</v>
      </c>
      <c r="E442" s="114">
        <f t="shared" si="113"/>
        <v>0</v>
      </c>
      <c r="F442" s="114">
        <f t="shared" si="113"/>
        <v>0</v>
      </c>
      <c r="G442" s="114">
        <f t="shared" si="113"/>
        <v>0</v>
      </c>
      <c r="H442" s="114">
        <f t="shared" si="113"/>
        <v>0</v>
      </c>
      <c r="I442" s="114">
        <f t="shared" si="113"/>
        <v>0</v>
      </c>
      <c r="J442" s="114">
        <f t="shared" si="113"/>
        <v>0</v>
      </c>
      <c r="K442" s="114">
        <f t="shared" si="113"/>
        <v>0</v>
      </c>
      <c r="L442" s="114">
        <f t="shared" si="113"/>
        <v>13160</v>
      </c>
      <c r="M442" s="114">
        <f t="shared" si="113"/>
        <v>0</v>
      </c>
      <c r="N442" s="114">
        <f t="shared" si="113"/>
        <v>91950</v>
      </c>
      <c r="O442" s="114">
        <f t="shared" si="113"/>
        <v>0</v>
      </c>
      <c r="P442" s="114">
        <f t="shared" si="113"/>
        <v>0</v>
      </c>
      <c r="Q442" s="114">
        <f t="shared" si="113"/>
        <v>0</v>
      </c>
      <c r="R442" s="114">
        <f t="shared" si="113"/>
        <v>0</v>
      </c>
      <c r="S442" s="114">
        <f t="shared" si="113"/>
        <v>0</v>
      </c>
      <c r="T442" s="114">
        <f t="shared" si="113"/>
        <v>0</v>
      </c>
      <c r="U442" s="114">
        <f t="shared" si="113"/>
        <v>0</v>
      </c>
      <c r="V442" s="114">
        <f t="shared" si="113"/>
        <v>0</v>
      </c>
      <c r="W442" s="114">
        <f t="shared" si="113"/>
        <v>0</v>
      </c>
      <c r="X442" s="114">
        <f t="shared" si="113"/>
        <v>251030</v>
      </c>
    </row>
    <row r="443" spans="1:24" ht="21" customHeight="1">
      <c r="A443" s="497" t="s">
        <v>194</v>
      </c>
      <c r="B443" s="497"/>
      <c r="C443" s="496" t="s">
        <v>196</v>
      </c>
      <c r="D443" s="496"/>
      <c r="E443" s="499" t="s">
        <v>199</v>
      </c>
      <c r="F443" s="500"/>
      <c r="G443" s="496" t="s">
        <v>201</v>
      </c>
      <c r="H443" s="497"/>
      <c r="I443" s="499" t="s">
        <v>215</v>
      </c>
      <c r="J443" s="500"/>
      <c r="K443" s="348" t="s">
        <v>216</v>
      </c>
      <c r="L443" s="499" t="s">
        <v>217</v>
      </c>
      <c r="M443" s="501"/>
      <c r="N443" s="500"/>
      <c r="O443" s="499" t="s">
        <v>218</v>
      </c>
      <c r="P443" s="500"/>
      <c r="Q443" s="499" t="s">
        <v>219</v>
      </c>
      <c r="R443" s="501"/>
      <c r="S443" s="500"/>
      <c r="T443" s="496" t="s">
        <v>220</v>
      </c>
      <c r="U443" s="497"/>
      <c r="V443" s="348" t="s">
        <v>284</v>
      </c>
      <c r="W443" s="348" t="s">
        <v>221</v>
      </c>
      <c r="X443" s="498" t="s">
        <v>17</v>
      </c>
    </row>
    <row r="444" spans="1:24" ht="21" customHeight="1">
      <c r="A444" s="497" t="s">
        <v>195</v>
      </c>
      <c r="B444" s="497"/>
      <c r="C444" s="348" t="s">
        <v>197</v>
      </c>
      <c r="D444" s="348" t="s">
        <v>198</v>
      </c>
      <c r="E444" s="348" t="s">
        <v>200</v>
      </c>
      <c r="F444" s="348" t="s">
        <v>288</v>
      </c>
      <c r="G444" s="348" t="s">
        <v>202</v>
      </c>
      <c r="H444" s="348" t="s">
        <v>203</v>
      </c>
      <c r="I444" s="348" t="s">
        <v>204</v>
      </c>
      <c r="J444" s="348" t="s">
        <v>205</v>
      </c>
      <c r="K444" s="348" t="s">
        <v>206</v>
      </c>
      <c r="L444" s="348" t="s">
        <v>207</v>
      </c>
      <c r="M444" s="348" t="s">
        <v>208</v>
      </c>
      <c r="N444" s="348" t="s">
        <v>334</v>
      </c>
      <c r="O444" s="349" t="s">
        <v>471</v>
      </c>
      <c r="P444" s="349" t="s">
        <v>209</v>
      </c>
      <c r="Q444" s="348" t="s">
        <v>210</v>
      </c>
      <c r="R444" s="348" t="s">
        <v>211</v>
      </c>
      <c r="S444" s="348" t="s">
        <v>290</v>
      </c>
      <c r="T444" s="348" t="s">
        <v>212</v>
      </c>
      <c r="U444" s="348" t="s">
        <v>213</v>
      </c>
      <c r="V444" s="348" t="s">
        <v>285</v>
      </c>
      <c r="W444" s="348" t="s">
        <v>214</v>
      </c>
      <c r="X444" s="498"/>
    </row>
    <row r="445" spans="1:24" ht="21" customHeight="1">
      <c r="A445" s="488" t="s">
        <v>277</v>
      </c>
      <c r="B445" s="489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95"/>
      <c r="P445" s="195"/>
      <c r="Q445" s="115"/>
      <c r="R445" s="115"/>
      <c r="S445" s="115"/>
      <c r="T445" s="115"/>
      <c r="U445" s="115"/>
      <c r="V445" s="115"/>
      <c r="W445" s="115"/>
      <c r="X445" s="116">
        <f>SUM(C445:W445)</f>
        <v>0</v>
      </c>
    </row>
    <row r="446" spans="1:24" ht="21" customHeight="1">
      <c r="A446" s="108">
        <v>429000</v>
      </c>
      <c r="B446" s="109" t="s">
        <v>10</v>
      </c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192"/>
      <c r="P446" s="192"/>
      <c r="Q446" s="76"/>
      <c r="R446" s="76"/>
      <c r="S446" s="76"/>
      <c r="T446" s="76"/>
      <c r="U446" s="76"/>
      <c r="V446" s="76"/>
      <c r="W446" s="76"/>
      <c r="X446" s="110">
        <f>SUM(C446:W446)</f>
        <v>0</v>
      </c>
    </row>
    <row r="447" spans="1:24" ht="21" customHeight="1">
      <c r="A447" s="111">
        <v>421000</v>
      </c>
      <c r="B447" s="112" t="s">
        <v>281</v>
      </c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>
        <f>27500+25500</f>
        <v>53000</v>
      </c>
      <c r="N447" s="87"/>
      <c r="O447" s="193"/>
      <c r="P447" s="193"/>
      <c r="Q447" s="87"/>
      <c r="R447" s="87"/>
      <c r="S447" s="87"/>
      <c r="T447" s="87"/>
      <c r="U447" s="87"/>
      <c r="V447" s="87"/>
      <c r="W447" s="87"/>
      <c r="X447" s="113">
        <f>SUM(C447:W447)</f>
        <v>53000</v>
      </c>
    </row>
    <row r="448" spans="1:24" ht="21" customHeight="1">
      <c r="A448" s="490" t="s">
        <v>230</v>
      </c>
      <c r="B448" s="491"/>
      <c r="C448" s="110">
        <f>SUM(C446:C447)</f>
        <v>0</v>
      </c>
      <c r="D448" s="110">
        <f aca="true" t="shared" si="114" ref="D448:V448">SUM(D446:D447)</f>
        <v>0</v>
      </c>
      <c r="E448" s="110">
        <f t="shared" si="114"/>
        <v>0</v>
      </c>
      <c r="F448" s="110">
        <f t="shared" si="114"/>
        <v>0</v>
      </c>
      <c r="G448" s="110">
        <f t="shared" si="114"/>
        <v>0</v>
      </c>
      <c r="H448" s="110">
        <f t="shared" si="114"/>
        <v>0</v>
      </c>
      <c r="I448" s="110">
        <f t="shared" si="114"/>
        <v>0</v>
      </c>
      <c r="J448" s="110">
        <f t="shared" si="114"/>
        <v>0</v>
      </c>
      <c r="K448" s="110">
        <f t="shared" si="114"/>
        <v>0</v>
      </c>
      <c r="L448" s="110">
        <f t="shared" si="114"/>
        <v>0</v>
      </c>
      <c r="M448" s="110">
        <f t="shared" si="114"/>
        <v>53000</v>
      </c>
      <c r="N448" s="110">
        <f t="shared" si="114"/>
        <v>0</v>
      </c>
      <c r="O448" s="110">
        <f t="shared" si="114"/>
        <v>0</v>
      </c>
      <c r="P448" s="110">
        <f t="shared" si="114"/>
        <v>0</v>
      </c>
      <c r="Q448" s="110">
        <f t="shared" si="114"/>
        <v>0</v>
      </c>
      <c r="R448" s="110">
        <f t="shared" si="114"/>
        <v>0</v>
      </c>
      <c r="S448" s="110">
        <f t="shared" si="114"/>
        <v>0</v>
      </c>
      <c r="T448" s="110">
        <f t="shared" si="114"/>
        <v>0</v>
      </c>
      <c r="U448" s="110">
        <f t="shared" si="114"/>
        <v>0</v>
      </c>
      <c r="V448" s="110">
        <f t="shared" si="114"/>
        <v>0</v>
      </c>
      <c r="W448" s="110">
        <f>SUM(W446:W447)</f>
        <v>0</v>
      </c>
      <c r="X448" s="110">
        <f>SUM(C448:W448)</f>
        <v>53000</v>
      </c>
    </row>
    <row r="449" spans="1:24" ht="21" customHeight="1">
      <c r="A449" s="492" t="s">
        <v>231</v>
      </c>
      <c r="B449" s="493"/>
      <c r="C449" s="114">
        <f>+C448+C333</f>
        <v>0</v>
      </c>
      <c r="D449" s="114">
        <f aca="true" t="shared" si="115" ref="D449:X449">+D448+D333</f>
        <v>0</v>
      </c>
      <c r="E449" s="114">
        <f t="shared" si="115"/>
        <v>0</v>
      </c>
      <c r="F449" s="114">
        <f t="shared" si="115"/>
        <v>0</v>
      </c>
      <c r="G449" s="114">
        <f t="shared" si="115"/>
        <v>0</v>
      </c>
      <c r="H449" s="114">
        <f t="shared" si="115"/>
        <v>0</v>
      </c>
      <c r="I449" s="114">
        <f t="shared" si="115"/>
        <v>0</v>
      </c>
      <c r="J449" s="114">
        <f t="shared" si="115"/>
        <v>0</v>
      </c>
      <c r="K449" s="114">
        <f t="shared" si="115"/>
        <v>0</v>
      </c>
      <c r="L449" s="114">
        <f t="shared" si="115"/>
        <v>0</v>
      </c>
      <c r="M449" s="114">
        <f t="shared" si="115"/>
        <v>53000</v>
      </c>
      <c r="N449" s="114">
        <f t="shared" si="115"/>
        <v>0</v>
      </c>
      <c r="O449" s="114">
        <f t="shared" si="115"/>
        <v>0</v>
      </c>
      <c r="P449" s="114">
        <f t="shared" si="115"/>
        <v>0</v>
      </c>
      <c r="Q449" s="114">
        <f t="shared" si="115"/>
        <v>0</v>
      </c>
      <c r="R449" s="114">
        <f t="shared" si="115"/>
        <v>0</v>
      </c>
      <c r="S449" s="114">
        <f t="shared" si="115"/>
        <v>0</v>
      </c>
      <c r="T449" s="114">
        <f t="shared" si="115"/>
        <v>0</v>
      </c>
      <c r="U449" s="114">
        <f t="shared" si="115"/>
        <v>0</v>
      </c>
      <c r="V449" s="114">
        <f t="shared" si="115"/>
        <v>0</v>
      </c>
      <c r="W449" s="114">
        <f t="shared" si="115"/>
        <v>0</v>
      </c>
      <c r="X449" s="114">
        <f t="shared" si="115"/>
        <v>53000</v>
      </c>
    </row>
    <row r="450" spans="1:24" ht="21" customHeight="1">
      <c r="A450" s="488" t="s">
        <v>278</v>
      </c>
      <c r="B450" s="489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95"/>
      <c r="P450" s="195"/>
      <c r="Q450" s="115"/>
      <c r="R450" s="115"/>
      <c r="S450" s="115"/>
      <c r="T450" s="115"/>
      <c r="U450" s="115"/>
      <c r="V450" s="115"/>
      <c r="W450" s="115"/>
      <c r="X450" s="116">
        <f aca="true" t="shared" si="116" ref="X450:X455">SUM(C450:W450)</f>
        <v>0</v>
      </c>
    </row>
    <row r="451" spans="1:24" ht="21" customHeight="1">
      <c r="A451" s="108">
        <v>610100</v>
      </c>
      <c r="B451" s="117" t="s">
        <v>280</v>
      </c>
      <c r="C451" s="76">
        <v>20000</v>
      </c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192"/>
      <c r="P451" s="192"/>
      <c r="Q451" s="76"/>
      <c r="R451" s="76"/>
      <c r="S451" s="76"/>
      <c r="T451" s="76"/>
      <c r="U451" s="76"/>
      <c r="V451" s="76"/>
      <c r="W451" s="76"/>
      <c r="X451" s="110">
        <f t="shared" si="116"/>
        <v>20000</v>
      </c>
    </row>
    <row r="452" spans="1:24" ht="21" customHeight="1">
      <c r="A452" s="108">
        <v>610200</v>
      </c>
      <c r="B452" s="109" t="s">
        <v>266</v>
      </c>
      <c r="C452" s="76"/>
      <c r="D452" s="76"/>
      <c r="E452" s="76"/>
      <c r="F452" s="76"/>
      <c r="G452" s="76"/>
      <c r="H452" s="76">
        <f>611000+4000+8000+321000</f>
        <v>944000</v>
      </c>
      <c r="I452" s="76"/>
      <c r="J452" s="76"/>
      <c r="K452" s="76"/>
      <c r="L452" s="76"/>
      <c r="M452" s="76"/>
      <c r="N452" s="76"/>
      <c r="O452" s="192"/>
      <c r="P452" s="192">
        <v>10000</v>
      </c>
      <c r="Q452" s="76"/>
      <c r="R452" s="76">
        <f>6000+40000+5000</f>
        <v>51000</v>
      </c>
      <c r="S452" s="76"/>
      <c r="T452" s="76"/>
      <c r="U452" s="76"/>
      <c r="V452" s="76"/>
      <c r="W452" s="76"/>
      <c r="X452" s="110">
        <f t="shared" si="116"/>
        <v>1005000</v>
      </c>
    </row>
    <row r="453" spans="1:24" ht="21" customHeight="1">
      <c r="A453" s="111">
        <v>610300</v>
      </c>
      <c r="B453" s="112" t="s">
        <v>390</v>
      </c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193"/>
      <c r="P453" s="193"/>
      <c r="Q453" s="87"/>
      <c r="R453" s="87"/>
      <c r="S453" s="87"/>
      <c r="T453" s="87"/>
      <c r="U453" s="87"/>
      <c r="V453" s="87"/>
      <c r="W453" s="87"/>
      <c r="X453" s="110">
        <f t="shared" si="116"/>
        <v>0</v>
      </c>
    </row>
    <row r="454" spans="1:24" ht="21" customHeight="1">
      <c r="A454" s="111">
        <v>610400</v>
      </c>
      <c r="B454" s="112" t="s">
        <v>279</v>
      </c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193"/>
      <c r="P454" s="193"/>
      <c r="Q454" s="87"/>
      <c r="R454" s="87"/>
      <c r="S454" s="87"/>
      <c r="T454" s="87"/>
      <c r="U454" s="87"/>
      <c r="V454" s="87"/>
      <c r="W454" s="87"/>
      <c r="X454" s="113">
        <f t="shared" si="116"/>
        <v>0</v>
      </c>
    </row>
    <row r="455" spans="1:24" ht="21" customHeight="1">
      <c r="A455" s="490" t="s">
        <v>230</v>
      </c>
      <c r="B455" s="491"/>
      <c r="C455" s="110">
        <f>SUM(C451:C454)</f>
        <v>20000</v>
      </c>
      <c r="D455" s="110">
        <f aca="true" t="shared" si="117" ref="D455:S455">SUM(D451:D454)</f>
        <v>0</v>
      </c>
      <c r="E455" s="110">
        <f t="shared" si="117"/>
        <v>0</v>
      </c>
      <c r="F455" s="110">
        <f t="shared" si="117"/>
        <v>0</v>
      </c>
      <c r="G455" s="110">
        <f t="shared" si="117"/>
        <v>0</v>
      </c>
      <c r="H455" s="110">
        <f t="shared" si="117"/>
        <v>944000</v>
      </c>
      <c r="I455" s="110">
        <f t="shared" si="117"/>
        <v>0</v>
      </c>
      <c r="J455" s="110">
        <f t="shared" si="117"/>
        <v>0</v>
      </c>
      <c r="K455" s="110">
        <f t="shared" si="117"/>
        <v>0</v>
      </c>
      <c r="L455" s="110">
        <f t="shared" si="117"/>
        <v>0</v>
      </c>
      <c r="M455" s="110">
        <f t="shared" si="117"/>
        <v>0</v>
      </c>
      <c r="N455" s="110">
        <f t="shared" si="117"/>
        <v>0</v>
      </c>
      <c r="O455" s="110">
        <f t="shared" si="117"/>
        <v>0</v>
      </c>
      <c r="P455" s="110">
        <f t="shared" si="117"/>
        <v>10000</v>
      </c>
      <c r="Q455" s="110">
        <f t="shared" si="117"/>
        <v>0</v>
      </c>
      <c r="R455" s="110">
        <f t="shared" si="117"/>
        <v>51000</v>
      </c>
      <c r="S455" s="110">
        <f t="shared" si="117"/>
        <v>0</v>
      </c>
      <c r="T455" s="110">
        <f>SUM(T451:T454)</f>
        <v>0</v>
      </c>
      <c r="U455" s="110">
        <f>SUM(U451:U454)</f>
        <v>0</v>
      </c>
      <c r="V455" s="110">
        <f>SUM(V451:V454)</f>
        <v>0</v>
      </c>
      <c r="W455" s="110">
        <f>SUM(W451:W454)</f>
        <v>0</v>
      </c>
      <c r="X455" s="110">
        <f t="shared" si="116"/>
        <v>1025000</v>
      </c>
    </row>
    <row r="456" spans="1:24" ht="21" customHeight="1">
      <c r="A456" s="492" t="s">
        <v>231</v>
      </c>
      <c r="B456" s="493"/>
      <c r="C456" s="114">
        <f>+C455+C340</f>
        <v>20000</v>
      </c>
      <c r="D456" s="114">
        <f aca="true" t="shared" si="118" ref="D456:X456">+D455+D340</f>
        <v>0</v>
      </c>
      <c r="E456" s="114">
        <f t="shared" si="118"/>
        <v>0</v>
      </c>
      <c r="F456" s="114">
        <f t="shared" si="118"/>
        <v>0</v>
      </c>
      <c r="G456" s="114">
        <f t="shared" si="118"/>
        <v>0</v>
      </c>
      <c r="H456" s="114">
        <f t="shared" si="118"/>
        <v>1888000</v>
      </c>
      <c r="I456" s="114">
        <f t="shared" si="118"/>
        <v>0</v>
      </c>
      <c r="J456" s="114">
        <f t="shared" si="118"/>
        <v>0</v>
      </c>
      <c r="K456" s="114">
        <f t="shared" si="118"/>
        <v>0</v>
      </c>
      <c r="L456" s="114">
        <f t="shared" si="118"/>
        <v>0</v>
      </c>
      <c r="M456" s="114">
        <f t="shared" si="118"/>
        <v>0</v>
      </c>
      <c r="N456" s="114">
        <f t="shared" si="118"/>
        <v>0</v>
      </c>
      <c r="O456" s="114">
        <f t="shared" si="118"/>
        <v>0</v>
      </c>
      <c r="P456" s="114">
        <f t="shared" si="118"/>
        <v>10000</v>
      </c>
      <c r="Q456" s="114">
        <f t="shared" si="118"/>
        <v>0</v>
      </c>
      <c r="R456" s="114">
        <f t="shared" si="118"/>
        <v>51000</v>
      </c>
      <c r="S456" s="114">
        <f t="shared" si="118"/>
        <v>0</v>
      </c>
      <c r="T456" s="114">
        <f t="shared" si="118"/>
        <v>0</v>
      </c>
      <c r="U456" s="114">
        <f t="shared" si="118"/>
        <v>0</v>
      </c>
      <c r="V456" s="114">
        <f t="shared" si="118"/>
        <v>0</v>
      </c>
      <c r="W456" s="114">
        <f t="shared" si="118"/>
        <v>0</v>
      </c>
      <c r="X456" s="114">
        <f t="shared" si="118"/>
        <v>1969000</v>
      </c>
    </row>
    <row r="457" spans="1:24" ht="21" customHeight="1">
      <c r="A457" s="488" t="s">
        <v>282</v>
      </c>
      <c r="B457" s="489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95"/>
      <c r="P457" s="195"/>
      <c r="Q457" s="115"/>
      <c r="R457" s="115"/>
      <c r="S457" s="115"/>
      <c r="T457" s="115"/>
      <c r="U457" s="115"/>
      <c r="V457" s="115"/>
      <c r="W457" s="115"/>
      <c r="X457" s="116">
        <f>SUM(C457:W457)</f>
        <v>0</v>
      </c>
    </row>
    <row r="458" spans="1:24" ht="21" customHeight="1">
      <c r="A458" s="108">
        <v>551000</v>
      </c>
      <c r="B458" s="109" t="s">
        <v>12</v>
      </c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192"/>
      <c r="P458" s="192"/>
      <c r="Q458" s="76"/>
      <c r="R458" s="76"/>
      <c r="S458" s="76"/>
      <c r="T458" s="76"/>
      <c r="U458" s="76"/>
      <c r="V458" s="76"/>
      <c r="W458" s="76"/>
      <c r="X458" s="110">
        <f>SUM(C458:W458)</f>
        <v>0</v>
      </c>
    </row>
    <row r="459" spans="1:24" ht="21" customHeight="1">
      <c r="A459" s="111">
        <v>510100</v>
      </c>
      <c r="B459" s="112" t="s">
        <v>283</v>
      </c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193"/>
      <c r="P459" s="193"/>
      <c r="Q459" s="87"/>
      <c r="R459" s="87"/>
      <c r="S459" s="87"/>
      <c r="T459" s="87"/>
      <c r="U459" s="87"/>
      <c r="V459" s="87"/>
      <c r="W459" s="87"/>
      <c r="X459" s="113">
        <f>SUM(C459:W459)</f>
        <v>0</v>
      </c>
    </row>
    <row r="460" spans="1:24" ht="21" customHeight="1">
      <c r="A460" s="490" t="s">
        <v>230</v>
      </c>
      <c r="B460" s="491"/>
      <c r="C460" s="110">
        <f>SUM(C458:C459)</f>
        <v>0</v>
      </c>
      <c r="D460" s="110">
        <f aca="true" t="shared" si="119" ref="D460:X460">SUM(D458:D459)</f>
        <v>0</v>
      </c>
      <c r="E460" s="110">
        <f t="shared" si="119"/>
        <v>0</v>
      </c>
      <c r="F460" s="110">
        <f t="shared" si="119"/>
        <v>0</v>
      </c>
      <c r="G460" s="110">
        <f t="shared" si="119"/>
        <v>0</v>
      </c>
      <c r="H460" s="110">
        <f t="shared" si="119"/>
        <v>0</v>
      </c>
      <c r="I460" s="110">
        <f t="shared" si="119"/>
        <v>0</v>
      </c>
      <c r="J460" s="110">
        <f t="shared" si="119"/>
        <v>0</v>
      </c>
      <c r="K460" s="110">
        <f t="shared" si="119"/>
        <v>0</v>
      </c>
      <c r="L460" s="110">
        <f t="shared" si="119"/>
        <v>0</v>
      </c>
      <c r="M460" s="110">
        <f t="shared" si="119"/>
        <v>0</v>
      </c>
      <c r="N460" s="110">
        <f t="shared" si="119"/>
        <v>0</v>
      </c>
      <c r="O460" s="110">
        <f t="shared" si="119"/>
        <v>0</v>
      </c>
      <c r="P460" s="110">
        <f t="shared" si="119"/>
        <v>0</v>
      </c>
      <c r="Q460" s="110">
        <f t="shared" si="119"/>
        <v>0</v>
      </c>
      <c r="R460" s="110">
        <f t="shared" si="119"/>
        <v>0</v>
      </c>
      <c r="S460" s="110">
        <f t="shared" si="119"/>
        <v>0</v>
      </c>
      <c r="T460" s="110">
        <f t="shared" si="119"/>
        <v>0</v>
      </c>
      <c r="U460" s="110">
        <f t="shared" si="119"/>
        <v>0</v>
      </c>
      <c r="V460" s="110">
        <f t="shared" si="119"/>
        <v>0</v>
      </c>
      <c r="W460" s="110">
        <f t="shared" si="119"/>
        <v>0</v>
      </c>
      <c r="X460" s="110">
        <f t="shared" si="119"/>
        <v>0</v>
      </c>
    </row>
    <row r="461" spans="1:24" ht="21" customHeight="1">
      <c r="A461" s="492" t="s">
        <v>231</v>
      </c>
      <c r="B461" s="493"/>
      <c r="C461" s="114">
        <f>+C460+C345</f>
        <v>0</v>
      </c>
      <c r="D461" s="114">
        <f aca="true" t="shared" si="120" ref="D461:X461">+D460+D345</f>
        <v>0</v>
      </c>
      <c r="E461" s="114">
        <f t="shared" si="120"/>
        <v>0</v>
      </c>
      <c r="F461" s="114">
        <f t="shared" si="120"/>
        <v>0</v>
      </c>
      <c r="G461" s="114">
        <f t="shared" si="120"/>
        <v>0</v>
      </c>
      <c r="H461" s="114">
        <f t="shared" si="120"/>
        <v>0</v>
      </c>
      <c r="I461" s="114">
        <f t="shared" si="120"/>
        <v>0</v>
      </c>
      <c r="J461" s="114">
        <f t="shared" si="120"/>
        <v>0</v>
      </c>
      <c r="K461" s="114">
        <f t="shared" si="120"/>
        <v>0</v>
      </c>
      <c r="L461" s="114">
        <f t="shared" si="120"/>
        <v>0</v>
      </c>
      <c r="M461" s="114">
        <f t="shared" si="120"/>
        <v>0</v>
      </c>
      <c r="N461" s="114">
        <f t="shared" si="120"/>
        <v>0</v>
      </c>
      <c r="O461" s="114">
        <f t="shared" si="120"/>
        <v>0</v>
      </c>
      <c r="P461" s="114">
        <f t="shared" si="120"/>
        <v>0</v>
      </c>
      <c r="Q461" s="114">
        <f t="shared" si="120"/>
        <v>0</v>
      </c>
      <c r="R461" s="114">
        <f t="shared" si="120"/>
        <v>0</v>
      </c>
      <c r="S461" s="114">
        <f t="shared" si="120"/>
        <v>0</v>
      </c>
      <c r="T461" s="114">
        <f t="shared" si="120"/>
        <v>0</v>
      </c>
      <c r="U461" s="114">
        <f t="shared" si="120"/>
        <v>0</v>
      </c>
      <c r="V461" s="114">
        <f t="shared" si="120"/>
        <v>0</v>
      </c>
      <c r="W461" s="114">
        <f t="shared" si="120"/>
        <v>0</v>
      </c>
      <c r="X461" s="114">
        <f t="shared" si="120"/>
        <v>0</v>
      </c>
    </row>
    <row r="462" spans="1:24" ht="21" customHeight="1">
      <c r="A462" s="494" t="s">
        <v>230</v>
      </c>
      <c r="B462" s="495"/>
      <c r="C462" s="49">
        <f aca="true" t="shared" si="121" ref="C462:W462">SUM(C362,C370,C382,C391,C398,C417,C424,C441,C448,C455,C460)</f>
        <v>795899.0700000001</v>
      </c>
      <c r="D462" s="49">
        <f t="shared" si="121"/>
        <v>169385</v>
      </c>
      <c r="E462" s="49">
        <f t="shared" si="121"/>
        <v>20770</v>
      </c>
      <c r="F462" s="49">
        <f t="shared" si="121"/>
        <v>15700</v>
      </c>
      <c r="G462" s="49">
        <f t="shared" si="121"/>
        <v>83990</v>
      </c>
      <c r="H462" s="49">
        <f t="shared" si="121"/>
        <v>1224000</v>
      </c>
      <c r="I462" s="49">
        <f t="shared" si="121"/>
        <v>26760</v>
      </c>
      <c r="J462" s="49">
        <f t="shared" si="121"/>
        <v>25130</v>
      </c>
      <c r="K462" s="49">
        <f t="shared" si="121"/>
        <v>0</v>
      </c>
      <c r="L462" s="49">
        <f t="shared" si="121"/>
        <v>73524</v>
      </c>
      <c r="M462" s="49">
        <f t="shared" si="121"/>
        <v>53000</v>
      </c>
      <c r="N462" s="49">
        <f t="shared" si="121"/>
        <v>158033.75</v>
      </c>
      <c r="O462" s="49">
        <f t="shared" si="121"/>
        <v>46350</v>
      </c>
      <c r="P462" s="49">
        <f t="shared" si="121"/>
        <v>14030</v>
      </c>
      <c r="Q462" s="49">
        <f t="shared" si="121"/>
        <v>12320</v>
      </c>
      <c r="R462" s="49">
        <f t="shared" si="121"/>
        <v>164680</v>
      </c>
      <c r="S462" s="49">
        <f t="shared" si="121"/>
        <v>0</v>
      </c>
      <c r="T462" s="49">
        <f t="shared" si="121"/>
        <v>0</v>
      </c>
      <c r="U462" s="49">
        <f t="shared" si="121"/>
        <v>24200</v>
      </c>
      <c r="V462" s="49">
        <f t="shared" si="121"/>
        <v>98406.70999999999</v>
      </c>
      <c r="W462" s="49">
        <f t="shared" si="121"/>
        <v>119897</v>
      </c>
      <c r="X462" s="49">
        <f>SUM(C462:W462)</f>
        <v>3126075.5300000003</v>
      </c>
    </row>
    <row r="463" spans="1:25" s="370" customFormat="1" ht="21" customHeight="1">
      <c r="A463" s="507" t="s">
        <v>231</v>
      </c>
      <c r="B463" s="508"/>
      <c r="C463" s="368">
        <f>SUM(C363,C371,C383,C392,C399,C418,C425,C442,C449,C456,C461)</f>
        <v>2682866.64</v>
      </c>
      <c r="D463" s="368">
        <f aca="true" t="shared" si="122" ref="D463:W463">SUM(D363,D371,D383,D392,D399,D418,D425,D442,D449,D456,D461)</f>
        <v>569462.03</v>
      </c>
      <c r="E463" s="368">
        <f t="shared" si="122"/>
        <v>83080</v>
      </c>
      <c r="F463" s="368">
        <f t="shared" si="122"/>
        <v>30450</v>
      </c>
      <c r="G463" s="368">
        <f t="shared" si="122"/>
        <v>190430</v>
      </c>
      <c r="H463" s="368">
        <f t="shared" si="122"/>
        <v>2378000</v>
      </c>
      <c r="I463" s="368">
        <f t="shared" si="122"/>
        <v>107040</v>
      </c>
      <c r="J463" s="368">
        <f t="shared" si="122"/>
        <v>65130</v>
      </c>
      <c r="K463" s="368">
        <f t="shared" si="122"/>
        <v>0</v>
      </c>
      <c r="L463" s="368">
        <f t="shared" si="122"/>
        <v>350159</v>
      </c>
      <c r="M463" s="368">
        <f t="shared" si="122"/>
        <v>53000</v>
      </c>
      <c r="N463" s="368">
        <f t="shared" si="122"/>
        <v>343597.5</v>
      </c>
      <c r="O463" s="368">
        <f t="shared" si="122"/>
        <v>183450</v>
      </c>
      <c r="P463" s="368">
        <f t="shared" si="122"/>
        <v>79460</v>
      </c>
      <c r="Q463" s="368">
        <f t="shared" si="122"/>
        <v>24870</v>
      </c>
      <c r="R463" s="368">
        <f t="shared" si="122"/>
        <v>170430</v>
      </c>
      <c r="S463" s="368">
        <f t="shared" si="122"/>
        <v>0</v>
      </c>
      <c r="T463" s="368">
        <f t="shared" si="122"/>
        <v>0</v>
      </c>
      <c r="U463" s="368">
        <f t="shared" si="122"/>
        <v>24200</v>
      </c>
      <c r="V463" s="368">
        <f t="shared" si="122"/>
        <v>274591.48</v>
      </c>
      <c r="W463" s="368">
        <f t="shared" si="122"/>
        <v>198388</v>
      </c>
      <c r="X463" s="368">
        <f>SUM(C463:W463)</f>
        <v>7808604.65</v>
      </c>
      <c r="Y463" s="369">
        <f>+X347</f>
        <v>4682529.119999999</v>
      </c>
    </row>
    <row r="464" spans="1:25" ht="21" customHeight="1">
      <c r="A464" s="502" t="s">
        <v>364</v>
      </c>
      <c r="B464" s="502"/>
      <c r="C464" s="502"/>
      <c r="D464" s="502"/>
      <c r="E464" s="502"/>
      <c r="F464" s="502"/>
      <c r="G464" s="502"/>
      <c r="H464" s="502"/>
      <c r="I464" s="502"/>
      <c r="J464" s="502"/>
      <c r="K464" s="502"/>
      <c r="L464" s="502"/>
      <c r="M464" s="502"/>
      <c r="N464" s="502"/>
      <c r="O464" s="503" t="str">
        <f>+A464</f>
        <v>เทศบาลตำบลเขาพระ อำเภอพิปูน จังหวัดนครศรีธรรมราช</v>
      </c>
      <c r="P464" s="503"/>
      <c r="Q464" s="503"/>
      <c r="R464" s="503"/>
      <c r="S464" s="503"/>
      <c r="T464" s="503"/>
      <c r="U464" s="503"/>
      <c r="V464" s="503"/>
      <c r="W464" s="503"/>
      <c r="X464" s="503"/>
      <c r="Y464" s="106">
        <f>+งบดุลบัญชี!AC117</f>
        <v>7808604.649999999</v>
      </c>
    </row>
    <row r="465" spans="1:25" ht="21" customHeight="1">
      <c r="A465" s="502" t="s">
        <v>193</v>
      </c>
      <c r="B465" s="502"/>
      <c r="C465" s="502"/>
      <c r="D465" s="502"/>
      <c r="E465" s="502"/>
      <c r="F465" s="502"/>
      <c r="G465" s="502"/>
      <c r="H465" s="502"/>
      <c r="I465" s="502"/>
      <c r="J465" s="502"/>
      <c r="K465" s="502"/>
      <c r="L465" s="502"/>
      <c r="M465" s="502"/>
      <c r="N465" s="502"/>
      <c r="O465" s="504" t="s">
        <v>193</v>
      </c>
      <c r="P465" s="504"/>
      <c r="Q465" s="504"/>
      <c r="R465" s="504"/>
      <c r="S465" s="504"/>
      <c r="T465" s="504"/>
      <c r="U465" s="504"/>
      <c r="V465" s="504"/>
      <c r="W465" s="504"/>
      <c r="X465" s="504"/>
      <c r="Y465" s="106">
        <f>+Y464-X463</f>
        <v>0</v>
      </c>
    </row>
    <row r="466" spans="1:24" ht="21" customHeight="1">
      <c r="A466" s="505" t="s">
        <v>551</v>
      </c>
      <c r="B466" s="505"/>
      <c r="C466" s="505"/>
      <c r="D466" s="505"/>
      <c r="E466" s="505"/>
      <c r="F466" s="505"/>
      <c r="G466" s="505"/>
      <c r="H466" s="505"/>
      <c r="I466" s="505"/>
      <c r="J466" s="505"/>
      <c r="K466" s="505"/>
      <c r="L466" s="505"/>
      <c r="M466" s="505"/>
      <c r="N466" s="505"/>
      <c r="O466" s="506" t="s">
        <v>551</v>
      </c>
      <c r="P466" s="506"/>
      <c r="Q466" s="506"/>
      <c r="R466" s="506"/>
      <c r="S466" s="506"/>
      <c r="T466" s="506"/>
      <c r="U466" s="506"/>
      <c r="V466" s="506"/>
      <c r="W466" s="506"/>
      <c r="X466" s="506"/>
    </row>
    <row r="467" spans="1:24" ht="21" customHeight="1">
      <c r="A467" s="497" t="s">
        <v>194</v>
      </c>
      <c r="B467" s="497"/>
      <c r="C467" s="496" t="s">
        <v>196</v>
      </c>
      <c r="D467" s="496"/>
      <c r="E467" s="499" t="s">
        <v>199</v>
      </c>
      <c r="F467" s="500"/>
      <c r="G467" s="496" t="s">
        <v>201</v>
      </c>
      <c r="H467" s="497"/>
      <c r="I467" s="499" t="s">
        <v>215</v>
      </c>
      <c r="J467" s="500"/>
      <c r="K467" s="366" t="s">
        <v>216</v>
      </c>
      <c r="L467" s="499" t="s">
        <v>217</v>
      </c>
      <c r="M467" s="501"/>
      <c r="N467" s="500"/>
      <c r="O467" s="499" t="s">
        <v>218</v>
      </c>
      <c r="P467" s="500"/>
      <c r="Q467" s="499" t="s">
        <v>219</v>
      </c>
      <c r="R467" s="501"/>
      <c r="S467" s="500"/>
      <c r="T467" s="496" t="s">
        <v>220</v>
      </c>
      <c r="U467" s="497"/>
      <c r="V467" s="366" t="s">
        <v>284</v>
      </c>
      <c r="W467" s="366" t="s">
        <v>221</v>
      </c>
      <c r="X467" s="498" t="s">
        <v>17</v>
      </c>
    </row>
    <row r="468" spans="1:24" ht="21" customHeight="1">
      <c r="A468" s="497" t="s">
        <v>195</v>
      </c>
      <c r="B468" s="497"/>
      <c r="C468" s="366" t="s">
        <v>197</v>
      </c>
      <c r="D468" s="366" t="s">
        <v>198</v>
      </c>
      <c r="E468" s="366" t="s">
        <v>200</v>
      </c>
      <c r="F468" s="366" t="s">
        <v>288</v>
      </c>
      <c r="G468" s="366" t="s">
        <v>202</v>
      </c>
      <c r="H468" s="366" t="s">
        <v>203</v>
      </c>
      <c r="I468" s="366" t="s">
        <v>204</v>
      </c>
      <c r="J468" s="366" t="s">
        <v>205</v>
      </c>
      <c r="K468" s="366" t="s">
        <v>206</v>
      </c>
      <c r="L468" s="366" t="s">
        <v>207</v>
      </c>
      <c r="M468" s="366" t="s">
        <v>208</v>
      </c>
      <c r="N468" s="366" t="s">
        <v>334</v>
      </c>
      <c r="O468" s="367" t="s">
        <v>471</v>
      </c>
      <c r="P468" s="367" t="s">
        <v>209</v>
      </c>
      <c r="Q468" s="366" t="s">
        <v>210</v>
      </c>
      <c r="R468" s="366" t="s">
        <v>211</v>
      </c>
      <c r="S468" s="366" t="s">
        <v>290</v>
      </c>
      <c r="T468" s="366" t="s">
        <v>212</v>
      </c>
      <c r="U468" s="366" t="s">
        <v>213</v>
      </c>
      <c r="V468" s="366" t="s">
        <v>285</v>
      </c>
      <c r="W468" s="366" t="s">
        <v>214</v>
      </c>
      <c r="X468" s="498"/>
    </row>
    <row r="469" spans="1:24" ht="21" customHeight="1">
      <c r="A469" s="488" t="s">
        <v>268</v>
      </c>
      <c r="B469" s="489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91"/>
      <c r="P469" s="191"/>
      <c r="Q469" s="107"/>
      <c r="R469" s="107"/>
      <c r="S469" s="107"/>
      <c r="T469" s="107"/>
      <c r="U469" s="107"/>
      <c r="V469" s="107"/>
      <c r="W469" s="107"/>
      <c r="X469" s="107"/>
    </row>
    <row r="470" spans="1:24" ht="21" customHeight="1">
      <c r="A470" s="108">
        <v>110300</v>
      </c>
      <c r="B470" s="109" t="s">
        <v>222</v>
      </c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192"/>
      <c r="P470" s="192"/>
      <c r="Q470" s="76"/>
      <c r="R470" s="76"/>
      <c r="S470" s="76"/>
      <c r="T470" s="76"/>
      <c r="U470" s="76"/>
      <c r="V470" s="76"/>
      <c r="W470" s="76">
        <f>11079+450+570</f>
        <v>12099</v>
      </c>
      <c r="X470" s="110">
        <f>SUM(C470:W470)</f>
        <v>12099</v>
      </c>
    </row>
    <row r="471" spans="1:24" ht="21" customHeight="1">
      <c r="A471" s="108">
        <v>110700</v>
      </c>
      <c r="B471" s="109" t="s">
        <v>123</v>
      </c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192"/>
      <c r="P471" s="192"/>
      <c r="Q471" s="76"/>
      <c r="R471" s="76"/>
      <c r="S471" s="76"/>
      <c r="T471" s="76"/>
      <c r="U471" s="76"/>
      <c r="V471" s="76"/>
      <c r="W471" s="76"/>
      <c r="X471" s="110">
        <f aca="true" t="shared" si="123" ref="X471:X476">SUM(C471:W471)</f>
        <v>0</v>
      </c>
    </row>
    <row r="472" spans="1:24" ht="21" customHeight="1">
      <c r="A472" s="108">
        <v>110800</v>
      </c>
      <c r="B472" s="109" t="s">
        <v>129</v>
      </c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192"/>
      <c r="P472" s="192"/>
      <c r="Q472" s="76"/>
      <c r="R472" s="76"/>
      <c r="S472" s="76"/>
      <c r="T472" s="76"/>
      <c r="U472" s="76"/>
      <c r="V472" s="76"/>
      <c r="W472" s="76"/>
      <c r="X472" s="110">
        <f t="shared" si="123"/>
        <v>0</v>
      </c>
    </row>
    <row r="473" spans="1:24" ht="21" customHeight="1">
      <c r="A473" s="108">
        <v>110900</v>
      </c>
      <c r="B473" s="109" t="s">
        <v>130</v>
      </c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192"/>
      <c r="P473" s="192"/>
      <c r="Q473" s="76"/>
      <c r="R473" s="76"/>
      <c r="S473" s="76"/>
      <c r="T473" s="76"/>
      <c r="U473" s="76"/>
      <c r="V473" s="76"/>
      <c r="W473" s="76">
        <v>8000</v>
      </c>
      <c r="X473" s="110">
        <f t="shared" si="123"/>
        <v>8000</v>
      </c>
    </row>
    <row r="474" spans="1:24" ht="21" customHeight="1">
      <c r="A474" s="108">
        <v>111000</v>
      </c>
      <c r="B474" s="109" t="s">
        <v>131</v>
      </c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192"/>
      <c r="P474" s="192"/>
      <c r="Q474" s="76"/>
      <c r="R474" s="76"/>
      <c r="S474" s="76"/>
      <c r="T474" s="76"/>
      <c r="U474" s="76"/>
      <c r="V474" s="76"/>
      <c r="W474" s="76"/>
      <c r="X474" s="110">
        <f t="shared" si="123"/>
        <v>0</v>
      </c>
    </row>
    <row r="475" spans="1:24" ht="21" customHeight="1">
      <c r="A475" s="108">
        <v>111100</v>
      </c>
      <c r="B475" s="109" t="s">
        <v>224</v>
      </c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192"/>
      <c r="P475" s="192"/>
      <c r="Q475" s="76"/>
      <c r="R475" s="76"/>
      <c r="S475" s="76"/>
      <c r="T475" s="76"/>
      <c r="U475" s="76"/>
      <c r="V475" s="76"/>
      <c r="W475" s="76"/>
      <c r="X475" s="110">
        <f t="shared" si="123"/>
        <v>0</v>
      </c>
    </row>
    <row r="476" spans="1:24" ht="21" customHeight="1">
      <c r="A476" s="108">
        <v>111100</v>
      </c>
      <c r="B476" s="109" t="s">
        <v>451</v>
      </c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192"/>
      <c r="P476" s="192"/>
      <c r="Q476" s="76"/>
      <c r="R476" s="76"/>
      <c r="S476" s="76"/>
      <c r="T476" s="76"/>
      <c r="U476" s="76"/>
      <c r="V476" s="76"/>
      <c r="W476" s="76"/>
      <c r="X476" s="110">
        <f t="shared" si="123"/>
        <v>0</v>
      </c>
    </row>
    <row r="477" spans="1:24" ht="21" customHeight="1">
      <c r="A477" s="111">
        <v>120100</v>
      </c>
      <c r="B477" s="112" t="s">
        <v>223</v>
      </c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193"/>
      <c r="P477" s="193"/>
      <c r="Q477" s="87"/>
      <c r="R477" s="87"/>
      <c r="S477" s="87"/>
      <c r="T477" s="87"/>
      <c r="U477" s="87"/>
      <c r="V477" s="87"/>
      <c r="W477" s="87"/>
      <c r="X477" s="113">
        <f>SUM(C477:W477)</f>
        <v>0</v>
      </c>
    </row>
    <row r="478" spans="1:24" ht="21" customHeight="1">
      <c r="A478" s="490" t="s">
        <v>230</v>
      </c>
      <c r="B478" s="491"/>
      <c r="C478" s="110">
        <f>SUM(C470:C477)</f>
        <v>0</v>
      </c>
      <c r="D478" s="110">
        <f aca="true" t="shared" si="124" ref="D478:L478">SUM(D470:D477)</f>
        <v>0</v>
      </c>
      <c r="E478" s="110">
        <f t="shared" si="124"/>
        <v>0</v>
      </c>
      <c r="F478" s="110">
        <f t="shared" si="124"/>
        <v>0</v>
      </c>
      <c r="G478" s="110">
        <f t="shared" si="124"/>
        <v>0</v>
      </c>
      <c r="H478" s="110">
        <f t="shared" si="124"/>
        <v>0</v>
      </c>
      <c r="I478" s="110">
        <f t="shared" si="124"/>
        <v>0</v>
      </c>
      <c r="J478" s="110">
        <f t="shared" si="124"/>
        <v>0</v>
      </c>
      <c r="K478" s="110">
        <f t="shared" si="124"/>
        <v>0</v>
      </c>
      <c r="L478" s="110">
        <f t="shared" si="124"/>
        <v>0</v>
      </c>
      <c r="M478" s="110">
        <f>SUM(M470:M477)</f>
        <v>0</v>
      </c>
      <c r="N478" s="110">
        <f>SUM(N470:N477)</f>
        <v>0</v>
      </c>
      <c r="O478" s="110">
        <f>SUM(O470:O477)</f>
        <v>0</v>
      </c>
      <c r="P478" s="110">
        <f>SUM(P470:P477)</f>
        <v>0</v>
      </c>
      <c r="Q478" s="110">
        <f>SUM(Q470:Q477)</f>
        <v>0</v>
      </c>
      <c r="R478" s="110">
        <f>SUM(R470:R477)</f>
        <v>0</v>
      </c>
      <c r="S478" s="110"/>
      <c r="T478" s="110">
        <f>SUM(T470:T477)</f>
        <v>0</v>
      </c>
      <c r="U478" s="110">
        <f>SUM(U470:U477)</f>
        <v>0</v>
      </c>
      <c r="V478" s="110">
        <f>SUM(V470:V477)</f>
        <v>0</v>
      </c>
      <c r="W478" s="110">
        <f>SUM(W470:W477)</f>
        <v>20099</v>
      </c>
      <c r="X478" s="110">
        <f>SUM(C478:W478)</f>
        <v>20099</v>
      </c>
    </row>
    <row r="479" spans="1:24" ht="21" customHeight="1">
      <c r="A479" s="492" t="s">
        <v>231</v>
      </c>
      <c r="B479" s="493"/>
      <c r="C479" s="114">
        <f>+C478+C363</f>
        <v>0</v>
      </c>
      <c r="D479" s="114">
        <f aca="true" t="shared" si="125" ref="D479:X479">+D478+D363</f>
        <v>0</v>
      </c>
      <c r="E479" s="114">
        <f t="shared" si="125"/>
        <v>0</v>
      </c>
      <c r="F479" s="114">
        <f t="shared" si="125"/>
        <v>0</v>
      </c>
      <c r="G479" s="114">
        <f t="shared" si="125"/>
        <v>0</v>
      </c>
      <c r="H479" s="114">
        <f t="shared" si="125"/>
        <v>0</v>
      </c>
      <c r="I479" s="114">
        <f t="shared" si="125"/>
        <v>0</v>
      </c>
      <c r="J479" s="114">
        <f t="shared" si="125"/>
        <v>0</v>
      </c>
      <c r="K479" s="114">
        <f t="shared" si="125"/>
        <v>0</v>
      </c>
      <c r="L479" s="114">
        <f t="shared" si="125"/>
        <v>0</v>
      </c>
      <c r="M479" s="114">
        <f t="shared" si="125"/>
        <v>0</v>
      </c>
      <c r="N479" s="114">
        <f t="shared" si="125"/>
        <v>0</v>
      </c>
      <c r="O479" s="114">
        <f t="shared" si="125"/>
        <v>0</v>
      </c>
      <c r="P479" s="114">
        <f t="shared" si="125"/>
        <v>0</v>
      </c>
      <c r="Q479" s="114">
        <f t="shared" si="125"/>
        <v>0</v>
      </c>
      <c r="R479" s="114">
        <f t="shared" si="125"/>
        <v>0</v>
      </c>
      <c r="S479" s="114">
        <f t="shared" si="125"/>
        <v>0</v>
      </c>
      <c r="T479" s="114">
        <f t="shared" si="125"/>
        <v>0</v>
      </c>
      <c r="U479" s="114">
        <f t="shared" si="125"/>
        <v>0</v>
      </c>
      <c r="V479" s="114">
        <f t="shared" si="125"/>
        <v>0</v>
      </c>
      <c r="W479" s="114">
        <f t="shared" si="125"/>
        <v>218487</v>
      </c>
      <c r="X479" s="114">
        <f t="shared" si="125"/>
        <v>218487</v>
      </c>
    </row>
    <row r="480" spans="1:24" ht="21" customHeight="1">
      <c r="A480" s="488" t="s">
        <v>269</v>
      </c>
      <c r="B480" s="489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95"/>
      <c r="P480" s="195"/>
      <c r="Q480" s="115"/>
      <c r="R480" s="115"/>
      <c r="S480" s="115"/>
      <c r="T480" s="115"/>
      <c r="U480" s="115"/>
      <c r="V480" s="115"/>
      <c r="W480" s="115"/>
      <c r="X480" s="116">
        <f aca="true" t="shared" si="126" ref="X480:X485">SUM(C480:W480)</f>
        <v>0</v>
      </c>
    </row>
    <row r="481" spans="1:24" ht="21" customHeight="1">
      <c r="A481" s="108">
        <v>210100</v>
      </c>
      <c r="B481" s="73" t="s">
        <v>225</v>
      </c>
      <c r="C481" s="76">
        <v>57960</v>
      </c>
      <c r="D481" s="76">
        <v>0</v>
      </c>
      <c r="E481" s="76"/>
      <c r="F481" s="76"/>
      <c r="G481" s="76"/>
      <c r="H481" s="76"/>
      <c r="I481" s="76"/>
      <c r="J481" s="76"/>
      <c r="K481" s="76"/>
      <c r="L481" s="76">
        <v>0</v>
      </c>
      <c r="M481" s="76"/>
      <c r="N481" s="76"/>
      <c r="O481" s="192"/>
      <c r="P481" s="192"/>
      <c r="Q481" s="76"/>
      <c r="R481" s="76"/>
      <c r="S481" s="76"/>
      <c r="T481" s="76"/>
      <c r="U481" s="76"/>
      <c r="V481" s="76"/>
      <c r="W481" s="76"/>
      <c r="X481" s="110">
        <f t="shared" si="126"/>
        <v>57960</v>
      </c>
    </row>
    <row r="482" spans="1:24" ht="21" customHeight="1">
      <c r="A482" s="108">
        <v>210200</v>
      </c>
      <c r="B482" s="73" t="s">
        <v>229</v>
      </c>
      <c r="C482" s="76">
        <v>10000</v>
      </c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192"/>
      <c r="P482" s="192"/>
      <c r="Q482" s="76"/>
      <c r="R482" s="76"/>
      <c r="S482" s="76"/>
      <c r="T482" s="76"/>
      <c r="U482" s="76"/>
      <c r="V482" s="76"/>
      <c r="W482" s="76"/>
      <c r="X482" s="110">
        <f t="shared" si="126"/>
        <v>10000</v>
      </c>
    </row>
    <row r="483" spans="1:24" ht="21" customHeight="1">
      <c r="A483" s="108">
        <v>210300</v>
      </c>
      <c r="B483" s="73" t="s">
        <v>226</v>
      </c>
      <c r="C483" s="76">
        <v>10000</v>
      </c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192"/>
      <c r="P483" s="192"/>
      <c r="Q483" s="76"/>
      <c r="R483" s="76"/>
      <c r="S483" s="76"/>
      <c r="T483" s="76"/>
      <c r="U483" s="76"/>
      <c r="V483" s="76"/>
      <c r="W483" s="76"/>
      <c r="X483" s="110">
        <f t="shared" si="126"/>
        <v>10000</v>
      </c>
    </row>
    <row r="484" spans="1:24" ht="21" customHeight="1">
      <c r="A484" s="108">
        <v>210400</v>
      </c>
      <c r="B484" s="73" t="s">
        <v>227</v>
      </c>
      <c r="C484" s="76">
        <v>16560</v>
      </c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192"/>
      <c r="P484" s="192"/>
      <c r="Q484" s="76"/>
      <c r="R484" s="76"/>
      <c r="S484" s="76"/>
      <c r="T484" s="76"/>
      <c r="U484" s="76"/>
      <c r="V484" s="76"/>
      <c r="W484" s="76"/>
      <c r="X484" s="110">
        <f t="shared" si="126"/>
        <v>16560</v>
      </c>
    </row>
    <row r="485" spans="1:24" ht="21" customHeight="1">
      <c r="A485" s="111">
        <v>210600</v>
      </c>
      <c r="B485" s="74" t="s">
        <v>228</v>
      </c>
      <c r="C485" s="76">
        <v>124200</v>
      </c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193"/>
      <c r="P485" s="193"/>
      <c r="Q485" s="87"/>
      <c r="R485" s="87"/>
      <c r="S485" s="87"/>
      <c r="T485" s="87"/>
      <c r="U485" s="87"/>
      <c r="V485" s="87"/>
      <c r="W485" s="87"/>
      <c r="X485" s="113">
        <f t="shared" si="126"/>
        <v>124200</v>
      </c>
    </row>
    <row r="486" spans="1:24" ht="21" customHeight="1">
      <c r="A486" s="490" t="s">
        <v>230</v>
      </c>
      <c r="B486" s="491"/>
      <c r="C486" s="110">
        <f>SUM(C481:C485)</f>
        <v>218720</v>
      </c>
      <c r="D486" s="110">
        <f>SUM(D480:D485)</f>
        <v>0</v>
      </c>
      <c r="E486" s="110">
        <f>SUM(E480:E485)</f>
        <v>0</v>
      </c>
      <c r="F486" s="110">
        <f aca="true" t="shared" si="127" ref="F486:L486">SUM(F480:F485)</f>
        <v>0</v>
      </c>
      <c r="G486" s="110">
        <f t="shared" si="127"/>
        <v>0</v>
      </c>
      <c r="H486" s="110">
        <f t="shared" si="127"/>
        <v>0</v>
      </c>
      <c r="I486" s="110">
        <f t="shared" si="127"/>
        <v>0</v>
      </c>
      <c r="J486" s="110">
        <f t="shared" si="127"/>
        <v>0</v>
      </c>
      <c r="K486" s="110">
        <f t="shared" si="127"/>
        <v>0</v>
      </c>
      <c r="L486" s="110">
        <f t="shared" si="127"/>
        <v>0</v>
      </c>
      <c r="M486" s="110">
        <f>SUM(M480:M485)</f>
        <v>0</v>
      </c>
      <c r="N486" s="110">
        <f>SUM(N480:N485)</f>
        <v>0</v>
      </c>
      <c r="O486" s="110">
        <f>SUM(O480:O485)</f>
        <v>0</v>
      </c>
      <c r="P486" s="110">
        <f>SUM(P480:P485)</f>
        <v>0</v>
      </c>
      <c r="Q486" s="110">
        <f>SUM(Q480:Q485)</f>
        <v>0</v>
      </c>
      <c r="R486" s="110">
        <f>SUM(R480:R485)</f>
        <v>0</v>
      </c>
      <c r="S486" s="110"/>
      <c r="T486" s="110">
        <f>SUM(T480:T485)</f>
        <v>0</v>
      </c>
      <c r="U486" s="110">
        <f>SUM(U480:U485)</f>
        <v>0</v>
      </c>
      <c r="V486" s="110">
        <f>SUM(V480:V485)</f>
        <v>0</v>
      </c>
      <c r="W486" s="110">
        <f>SUM(W480:W485)</f>
        <v>0</v>
      </c>
      <c r="X486" s="110">
        <f>SUM(C486:W486)</f>
        <v>218720</v>
      </c>
    </row>
    <row r="487" spans="1:24" ht="21" customHeight="1">
      <c r="A487" s="492" t="s">
        <v>231</v>
      </c>
      <c r="B487" s="493"/>
      <c r="C487" s="110">
        <f>+C486+C371</f>
        <v>1088614</v>
      </c>
      <c r="D487" s="110">
        <f aca="true" t="shared" si="128" ref="D487:X487">+D486+D371</f>
        <v>0</v>
      </c>
      <c r="E487" s="110">
        <f t="shared" si="128"/>
        <v>0</v>
      </c>
      <c r="F487" s="110">
        <f t="shared" si="128"/>
        <v>0</v>
      </c>
      <c r="G487" s="110">
        <f t="shared" si="128"/>
        <v>0</v>
      </c>
      <c r="H487" s="110">
        <f t="shared" si="128"/>
        <v>0</v>
      </c>
      <c r="I487" s="110">
        <f t="shared" si="128"/>
        <v>0</v>
      </c>
      <c r="J487" s="110">
        <f t="shared" si="128"/>
        <v>0</v>
      </c>
      <c r="K487" s="110">
        <f t="shared" si="128"/>
        <v>0</v>
      </c>
      <c r="L487" s="110">
        <f t="shared" si="128"/>
        <v>0</v>
      </c>
      <c r="M487" s="110">
        <f t="shared" si="128"/>
        <v>0</v>
      </c>
      <c r="N487" s="110">
        <f t="shared" si="128"/>
        <v>0</v>
      </c>
      <c r="O487" s="110">
        <f t="shared" si="128"/>
        <v>0</v>
      </c>
      <c r="P487" s="110">
        <f t="shared" si="128"/>
        <v>0</v>
      </c>
      <c r="Q487" s="110">
        <f t="shared" si="128"/>
        <v>0</v>
      </c>
      <c r="R487" s="110">
        <f t="shared" si="128"/>
        <v>0</v>
      </c>
      <c r="S487" s="110">
        <f t="shared" si="128"/>
        <v>0</v>
      </c>
      <c r="T487" s="110">
        <f t="shared" si="128"/>
        <v>0</v>
      </c>
      <c r="U487" s="110">
        <f t="shared" si="128"/>
        <v>0</v>
      </c>
      <c r="V487" s="110">
        <f t="shared" si="128"/>
        <v>0</v>
      </c>
      <c r="W487" s="110">
        <f t="shared" si="128"/>
        <v>0</v>
      </c>
      <c r="X487" s="110">
        <f t="shared" si="128"/>
        <v>1088614</v>
      </c>
    </row>
    <row r="488" spans="1:24" ht="21" customHeight="1">
      <c r="A488" s="488" t="s">
        <v>270</v>
      </c>
      <c r="B488" s="489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95"/>
      <c r="P488" s="195"/>
      <c r="Q488" s="115"/>
      <c r="R488" s="115"/>
      <c r="S488" s="115"/>
      <c r="T488" s="115"/>
      <c r="U488" s="115"/>
      <c r="V488" s="115"/>
      <c r="W488" s="115"/>
      <c r="X488" s="116">
        <f>SUM(C488:W488)</f>
        <v>0</v>
      </c>
    </row>
    <row r="489" spans="1:24" ht="21" customHeight="1">
      <c r="A489" s="108">
        <v>220100</v>
      </c>
      <c r="B489" s="73" t="s">
        <v>232</v>
      </c>
      <c r="C489" s="76">
        <v>195820</v>
      </c>
      <c r="D489" s="76">
        <v>78950</v>
      </c>
      <c r="E489" s="76">
        <v>20770</v>
      </c>
      <c r="F489" s="76">
        <v>0</v>
      </c>
      <c r="G489" s="76"/>
      <c r="H489" s="76"/>
      <c r="I489" s="76"/>
      <c r="J489" s="76"/>
      <c r="K489" s="76"/>
      <c r="L489" s="76">
        <v>33736</v>
      </c>
      <c r="M489" s="76"/>
      <c r="N489" s="371"/>
      <c r="O489" s="192">
        <v>16960</v>
      </c>
      <c r="P489" s="192"/>
      <c r="Q489" s="76"/>
      <c r="R489" s="76"/>
      <c r="S489" s="76"/>
      <c r="T489" s="76"/>
      <c r="U489" s="76"/>
      <c r="V489" s="76"/>
      <c r="W489" s="76"/>
      <c r="X489" s="110">
        <f>SUM(C489:W489)</f>
        <v>346236</v>
      </c>
    </row>
    <row r="490" spans="1:24" ht="21" customHeight="1">
      <c r="A490" s="108">
        <v>220200</v>
      </c>
      <c r="B490" s="73" t="s">
        <v>233</v>
      </c>
      <c r="C490" s="76">
        <v>5600</v>
      </c>
      <c r="D490" s="76">
        <v>655</v>
      </c>
      <c r="E490" s="76"/>
      <c r="F490" s="76"/>
      <c r="G490" s="76"/>
      <c r="H490" s="76"/>
      <c r="I490" s="76"/>
      <c r="J490" s="76"/>
      <c r="K490" s="76"/>
      <c r="L490" s="76"/>
      <c r="M490" s="76"/>
      <c r="N490" s="372"/>
      <c r="O490" s="192"/>
      <c r="P490" s="192"/>
      <c r="Q490" s="76"/>
      <c r="R490" s="76"/>
      <c r="S490" s="76"/>
      <c r="T490" s="76"/>
      <c r="U490" s="76"/>
      <c r="V490" s="76"/>
      <c r="W490" s="76"/>
      <c r="X490" s="110">
        <f>SUM(C490:W490)</f>
        <v>6255</v>
      </c>
    </row>
    <row r="491" spans="1:24" ht="21" customHeight="1">
      <c r="A491" s="108">
        <v>220300</v>
      </c>
      <c r="B491" s="73" t="s">
        <v>234</v>
      </c>
      <c r="C491" s="76">
        <v>9100</v>
      </c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372"/>
      <c r="O491" s="192"/>
      <c r="P491" s="192"/>
      <c r="Q491" s="76"/>
      <c r="R491" s="76"/>
      <c r="S491" s="76"/>
      <c r="T491" s="76"/>
      <c r="U491" s="76"/>
      <c r="V491" s="76"/>
      <c r="W491" s="76"/>
      <c r="X491" s="110">
        <f>SUM(C491:W491)</f>
        <v>9100</v>
      </c>
    </row>
    <row r="492" spans="1:24" ht="21" customHeight="1">
      <c r="A492" s="108">
        <v>220400</v>
      </c>
      <c r="B492" s="73" t="s">
        <v>3</v>
      </c>
      <c r="C492" s="76"/>
      <c r="D492" s="76">
        <v>30960</v>
      </c>
      <c r="E492" s="76"/>
      <c r="F492" s="76"/>
      <c r="G492" s="76"/>
      <c r="H492" s="76"/>
      <c r="I492" s="76"/>
      <c r="J492" s="76"/>
      <c r="K492" s="76"/>
      <c r="L492" s="76"/>
      <c r="M492" s="76"/>
      <c r="N492" s="372"/>
      <c r="O492" s="192"/>
      <c r="P492" s="192"/>
      <c r="Q492" s="76"/>
      <c r="R492" s="76"/>
      <c r="S492" s="76"/>
      <c r="T492" s="76"/>
      <c r="U492" s="76"/>
      <c r="V492" s="76"/>
      <c r="W492" s="76"/>
      <c r="X492" s="110">
        <f>SUM(C492:W492)</f>
        <v>30960</v>
      </c>
    </row>
    <row r="493" spans="1:24" ht="21" customHeight="1">
      <c r="A493" s="108">
        <v>220500</v>
      </c>
      <c r="B493" s="73" t="s">
        <v>235</v>
      </c>
      <c r="C493" s="76"/>
      <c r="D493" s="76">
        <v>0</v>
      </c>
      <c r="E493" s="76"/>
      <c r="F493" s="76"/>
      <c r="G493" s="76"/>
      <c r="H493" s="76"/>
      <c r="I493" s="76"/>
      <c r="J493" s="76"/>
      <c r="K493" s="76"/>
      <c r="L493" s="76"/>
      <c r="M493" s="76"/>
      <c r="N493" s="373"/>
      <c r="O493" s="192"/>
      <c r="P493" s="192"/>
      <c r="Q493" s="76"/>
      <c r="R493" s="76"/>
      <c r="S493" s="76"/>
      <c r="T493" s="76"/>
      <c r="U493" s="76"/>
      <c r="V493" s="76"/>
      <c r="W493" s="76"/>
      <c r="X493" s="110">
        <f>SUM(C493:W493)</f>
        <v>0</v>
      </c>
    </row>
    <row r="494" spans="1:24" ht="21" customHeight="1">
      <c r="A494" s="497" t="s">
        <v>194</v>
      </c>
      <c r="B494" s="497"/>
      <c r="C494" s="496" t="s">
        <v>196</v>
      </c>
      <c r="D494" s="496"/>
      <c r="E494" s="499" t="s">
        <v>199</v>
      </c>
      <c r="F494" s="500"/>
      <c r="G494" s="496" t="s">
        <v>201</v>
      </c>
      <c r="H494" s="497"/>
      <c r="I494" s="499" t="s">
        <v>215</v>
      </c>
      <c r="J494" s="500"/>
      <c r="K494" s="366" t="s">
        <v>216</v>
      </c>
      <c r="L494" s="499" t="s">
        <v>217</v>
      </c>
      <c r="M494" s="501"/>
      <c r="N494" s="500"/>
      <c r="O494" s="499" t="s">
        <v>218</v>
      </c>
      <c r="P494" s="500"/>
      <c r="Q494" s="499" t="s">
        <v>219</v>
      </c>
      <c r="R494" s="501"/>
      <c r="S494" s="500"/>
      <c r="T494" s="496" t="s">
        <v>220</v>
      </c>
      <c r="U494" s="497"/>
      <c r="V494" s="366" t="s">
        <v>284</v>
      </c>
      <c r="W494" s="366" t="s">
        <v>221</v>
      </c>
      <c r="X494" s="498" t="s">
        <v>17</v>
      </c>
    </row>
    <row r="495" spans="1:24" ht="21" customHeight="1">
      <c r="A495" s="497" t="s">
        <v>195</v>
      </c>
      <c r="B495" s="497"/>
      <c r="C495" s="366" t="s">
        <v>197</v>
      </c>
      <c r="D495" s="366" t="s">
        <v>198</v>
      </c>
      <c r="E495" s="366" t="s">
        <v>200</v>
      </c>
      <c r="F495" s="366" t="s">
        <v>288</v>
      </c>
      <c r="G495" s="366" t="s">
        <v>202</v>
      </c>
      <c r="H495" s="366" t="s">
        <v>203</v>
      </c>
      <c r="I495" s="366" t="s">
        <v>204</v>
      </c>
      <c r="J495" s="366" t="s">
        <v>205</v>
      </c>
      <c r="K495" s="366" t="s">
        <v>206</v>
      </c>
      <c r="L495" s="366" t="s">
        <v>207</v>
      </c>
      <c r="M495" s="366" t="s">
        <v>208</v>
      </c>
      <c r="N495" s="366" t="s">
        <v>334</v>
      </c>
      <c r="O495" s="367" t="s">
        <v>471</v>
      </c>
      <c r="P495" s="367" t="s">
        <v>209</v>
      </c>
      <c r="Q495" s="366" t="s">
        <v>210</v>
      </c>
      <c r="R495" s="366" t="s">
        <v>211</v>
      </c>
      <c r="S495" s="366" t="s">
        <v>290</v>
      </c>
      <c r="T495" s="366" t="s">
        <v>212</v>
      </c>
      <c r="U495" s="366" t="s">
        <v>213</v>
      </c>
      <c r="V495" s="366" t="s">
        <v>285</v>
      </c>
      <c r="W495" s="366" t="s">
        <v>214</v>
      </c>
      <c r="X495" s="498"/>
    </row>
    <row r="496" spans="1:24" ht="21" customHeight="1">
      <c r="A496" s="108">
        <v>220600</v>
      </c>
      <c r="B496" s="73" t="s">
        <v>236</v>
      </c>
      <c r="C496" s="76">
        <v>77102</v>
      </c>
      <c r="D496" s="76">
        <v>22721</v>
      </c>
      <c r="E496" s="76">
        <v>7721</v>
      </c>
      <c r="F496" s="76"/>
      <c r="G496" s="76">
        <v>25240</v>
      </c>
      <c r="H496" s="84"/>
      <c r="I496" s="76">
        <v>25260</v>
      </c>
      <c r="J496" s="76"/>
      <c r="K496" s="76"/>
      <c r="L496" s="76">
        <v>43522</v>
      </c>
      <c r="M496" s="76"/>
      <c r="N496" s="76"/>
      <c r="O496" s="192">
        <v>17742</v>
      </c>
      <c r="P496" s="192"/>
      <c r="Q496" s="76"/>
      <c r="R496" s="76"/>
      <c r="S496" s="76"/>
      <c r="T496" s="76"/>
      <c r="U496" s="76"/>
      <c r="V496" s="76"/>
      <c r="W496" s="76"/>
      <c r="X496" s="110">
        <f>SUM(C496:W496)</f>
        <v>219308</v>
      </c>
    </row>
    <row r="497" spans="1:24" ht="21" customHeight="1">
      <c r="A497" s="111">
        <v>220700</v>
      </c>
      <c r="B497" s="74" t="s">
        <v>237</v>
      </c>
      <c r="C497" s="76">
        <v>5732</v>
      </c>
      <c r="D497" s="87">
        <v>1232</v>
      </c>
      <c r="E497" s="87">
        <v>1232</v>
      </c>
      <c r="F497" s="87"/>
      <c r="G497" s="145"/>
      <c r="H497" s="145"/>
      <c r="I497" s="87">
        <v>1500</v>
      </c>
      <c r="J497" s="87"/>
      <c r="K497" s="87"/>
      <c r="L497" s="76">
        <v>3964</v>
      </c>
      <c r="M497" s="87"/>
      <c r="N497" s="87"/>
      <c r="O497" s="193">
        <v>267</v>
      </c>
      <c r="P497" s="193"/>
      <c r="Q497" s="87"/>
      <c r="R497" s="87"/>
      <c r="S497" s="87"/>
      <c r="T497" s="87"/>
      <c r="U497" s="87"/>
      <c r="V497" s="87"/>
      <c r="W497" s="87"/>
      <c r="X497" s="110">
        <f>SUM(C497:W497)</f>
        <v>13927</v>
      </c>
    </row>
    <row r="498" spans="1:25" ht="21" customHeight="1">
      <c r="A498" s="490" t="s">
        <v>230</v>
      </c>
      <c r="B498" s="491"/>
      <c r="C498" s="110">
        <f>SUM(C488:C497)</f>
        <v>293354</v>
      </c>
      <c r="D498" s="110">
        <f aca="true" t="shared" si="129" ref="D498:X498">SUM(D488:D497)</f>
        <v>134518</v>
      </c>
      <c r="E498" s="110">
        <f t="shared" si="129"/>
        <v>29723</v>
      </c>
      <c r="F498" s="110">
        <f t="shared" si="129"/>
        <v>0</v>
      </c>
      <c r="G498" s="110">
        <f t="shared" si="129"/>
        <v>25240</v>
      </c>
      <c r="H498" s="110">
        <f t="shared" si="129"/>
        <v>0</v>
      </c>
      <c r="I498" s="110">
        <f t="shared" si="129"/>
        <v>26760</v>
      </c>
      <c r="J498" s="110">
        <f t="shared" si="129"/>
        <v>0</v>
      </c>
      <c r="K498" s="110">
        <f t="shared" si="129"/>
        <v>0</v>
      </c>
      <c r="L498" s="110">
        <f t="shared" si="129"/>
        <v>81222</v>
      </c>
      <c r="M498" s="110">
        <f t="shared" si="129"/>
        <v>0</v>
      </c>
      <c r="N498" s="110">
        <f t="shared" si="129"/>
        <v>0</v>
      </c>
      <c r="O498" s="110">
        <f t="shared" si="129"/>
        <v>34969</v>
      </c>
      <c r="P498" s="110">
        <f t="shared" si="129"/>
        <v>0</v>
      </c>
      <c r="Q498" s="110">
        <f t="shared" si="129"/>
        <v>0</v>
      </c>
      <c r="R498" s="110">
        <f t="shared" si="129"/>
        <v>0</v>
      </c>
      <c r="S498" s="110">
        <f t="shared" si="129"/>
        <v>0</v>
      </c>
      <c r="T498" s="110">
        <f t="shared" si="129"/>
        <v>0</v>
      </c>
      <c r="U498" s="110">
        <f t="shared" si="129"/>
        <v>0</v>
      </c>
      <c r="V498" s="110">
        <f t="shared" si="129"/>
        <v>0</v>
      </c>
      <c r="W498" s="110">
        <f t="shared" si="129"/>
        <v>0</v>
      </c>
      <c r="X498" s="110">
        <f t="shared" si="129"/>
        <v>625786</v>
      </c>
      <c r="Y498" s="106">
        <f>361591+30960+233235</f>
        <v>625786</v>
      </c>
    </row>
    <row r="499" spans="1:24" ht="21" customHeight="1">
      <c r="A499" s="492" t="s">
        <v>231</v>
      </c>
      <c r="B499" s="493"/>
      <c r="C499" s="114">
        <f>+C498+C383</f>
        <v>1366940</v>
      </c>
      <c r="D499" s="114">
        <f aca="true" t="shared" si="130" ref="D499:X499">+D498+D383</f>
        <v>602181.23</v>
      </c>
      <c r="E499" s="114">
        <f t="shared" si="130"/>
        <v>112803</v>
      </c>
      <c r="F499" s="114">
        <f t="shared" si="130"/>
        <v>0</v>
      </c>
      <c r="G499" s="114">
        <f t="shared" si="130"/>
        <v>124570</v>
      </c>
      <c r="H499" s="114">
        <f t="shared" si="130"/>
        <v>0</v>
      </c>
      <c r="I499" s="114">
        <f t="shared" si="130"/>
        <v>133800</v>
      </c>
      <c r="J499" s="114">
        <f t="shared" si="130"/>
        <v>0</v>
      </c>
      <c r="K499" s="114">
        <f t="shared" si="130"/>
        <v>0</v>
      </c>
      <c r="L499" s="114">
        <f t="shared" si="130"/>
        <v>379344</v>
      </c>
      <c r="M499" s="114">
        <f t="shared" si="130"/>
        <v>0</v>
      </c>
      <c r="N499" s="114">
        <f t="shared" si="130"/>
        <v>0</v>
      </c>
      <c r="O499" s="114">
        <f t="shared" si="130"/>
        <v>212569</v>
      </c>
      <c r="P499" s="114">
        <f t="shared" si="130"/>
        <v>0</v>
      </c>
      <c r="Q499" s="114">
        <f t="shared" si="130"/>
        <v>0</v>
      </c>
      <c r="R499" s="114">
        <f t="shared" si="130"/>
        <v>0</v>
      </c>
      <c r="S499" s="114">
        <f t="shared" si="130"/>
        <v>0</v>
      </c>
      <c r="T499" s="114">
        <f t="shared" si="130"/>
        <v>0</v>
      </c>
      <c r="U499" s="114">
        <f t="shared" si="130"/>
        <v>0</v>
      </c>
      <c r="V499" s="114">
        <f t="shared" si="130"/>
        <v>0</v>
      </c>
      <c r="W499" s="114">
        <f t="shared" si="130"/>
        <v>0</v>
      </c>
      <c r="X499" s="114">
        <f t="shared" si="130"/>
        <v>2932207.23</v>
      </c>
    </row>
    <row r="500" spans="1:24" ht="21" customHeight="1">
      <c r="A500" s="488" t="s">
        <v>271</v>
      </c>
      <c r="B500" s="489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95"/>
      <c r="P500" s="195"/>
      <c r="Q500" s="115"/>
      <c r="R500" s="115"/>
      <c r="S500" s="115"/>
      <c r="T500" s="115"/>
      <c r="U500" s="115"/>
      <c r="V500" s="115"/>
      <c r="W500" s="115"/>
      <c r="X500" s="116">
        <f aca="true" t="shared" si="131" ref="X500:X505">SUM(C500:W500)</f>
        <v>0</v>
      </c>
    </row>
    <row r="501" spans="1:24" ht="21" customHeight="1">
      <c r="A501" s="108">
        <v>310100</v>
      </c>
      <c r="B501" s="73" t="s">
        <v>238</v>
      </c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192"/>
      <c r="P501" s="192"/>
      <c r="Q501" s="76"/>
      <c r="R501" s="76"/>
      <c r="S501" s="76"/>
      <c r="T501" s="76"/>
      <c r="U501" s="76"/>
      <c r="V501" s="76"/>
      <c r="W501" s="76"/>
      <c r="X501" s="110">
        <f t="shared" si="131"/>
        <v>0</v>
      </c>
    </row>
    <row r="502" spans="1:24" ht="21" customHeight="1">
      <c r="A502" s="108">
        <v>310200</v>
      </c>
      <c r="B502" s="73" t="s">
        <v>239</v>
      </c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192"/>
      <c r="P502" s="192"/>
      <c r="Q502" s="76"/>
      <c r="R502" s="76"/>
      <c r="S502" s="76"/>
      <c r="T502" s="76"/>
      <c r="U502" s="76"/>
      <c r="V502" s="76"/>
      <c r="W502" s="76"/>
      <c r="X502" s="110">
        <f t="shared" si="131"/>
        <v>0</v>
      </c>
    </row>
    <row r="503" spans="1:24" ht="21" customHeight="1">
      <c r="A503" s="108">
        <v>310300</v>
      </c>
      <c r="B503" s="73" t="s">
        <v>240</v>
      </c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192"/>
      <c r="P503" s="192"/>
      <c r="Q503" s="76"/>
      <c r="R503" s="76"/>
      <c r="S503" s="76"/>
      <c r="T503" s="76"/>
      <c r="U503" s="76"/>
      <c r="V503" s="76"/>
      <c r="W503" s="76"/>
      <c r="X503" s="110">
        <f t="shared" si="131"/>
        <v>0</v>
      </c>
    </row>
    <row r="504" spans="1:24" ht="21" customHeight="1">
      <c r="A504" s="108">
        <v>310400</v>
      </c>
      <c r="B504" s="73" t="s">
        <v>241</v>
      </c>
      <c r="C504" s="76">
        <v>17300</v>
      </c>
      <c r="D504" s="76">
        <v>4600</v>
      </c>
      <c r="E504" s="76"/>
      <c r="F504" s="76">
        <v>2500</v>
      </c>
      <c r="G504" s="76"/>
      <c r="H504" s="76"/>
      <c r="I504" s="76"/>
      <c r="J504" s="76"/>
      <c r="K504" s="76"/>
      <c r="L504" s="76">
        <v>4800</v>
      </c>
      <c r="M504" s="76"/>
      <c r="N504" s="76">
        <v>0</v>
      </c>
      <c r="O504" s="192">
        <v>2300</v>
      </c>
      <c r="P504" s="192"/>
      <c r="Q504" s="76"/>
      <c r="R504" s="76"/>
      <c r="S504" s="76"/>
      <c r="T504" s="76"/>
      <c r="U504" s="76"/>
      <c r="V504" s="76"/>
      <c r="W504" s="76"/>
      <c r="X504" s="110">
        <f t="shared" si="131"/>
        <v>31500</v>
      </c>
    </row>
    <row r="505" spans="1:24" ht="21" customHeight="1">
      <c r="A505" s="108">
        <v>310500</v>
      </c>
      <c r="B505" s="73" t="s">
        <v>242</v>
      </c>
      <c r="C505" s="76"/>
      <c r="D505" s="76"/>
      <c r="E505" s="76"/>
      <c r="F505" s="76"/>
      <c r="G505" s="76"/>
      <c r="H505" s="76"/>
      <c r="I505" s="76"/>
      <c r="J505" s="76"/>
      <c r="K505" s="76"/>
      <c r="L505" s="76">
        <v>3300</v>
      </c>
      <c r="M505" s="76"/>
      <c r="N505" s="76"/>
      <c r="O505" s="192"/>
      <c r="P505" s="192"/>
      <c r="Q505" s="76"/>
      <c r="R505" s="76"/>
      <c r="S505" s="76"/>
      <c r="T505" s="76"/>
      <c r="U505" s="76"/>
      <c r="V505" s="76"/>
      <c r="W505" s="76"/>
      <c r="X505" s="110">
        <f t="shared" si="131"/>
        <v>3300</v>
      </c>
    </row>
    <row r="506" spans="1:24" ht="21" customHeight="1">
      <c r="A506" s="111">
        <v>310600</v>
      </c>
      <c r="B506" s="74" t="s">
        <v>243</v>
      </c>
      <c r="C506" s="76"/>
      <c r="D506" s="76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193"/>
      <c r="P506" s="193"/>
      <c r="Q506" s="87"/>
      <c r="R506" s="87"/>
      <c r="S506" s="87"/>
      <c r="T506" s="87"/>
      <c r="U506" s="87"/>
      <c r="V506" s="87"/>
      <c r="W506" s="87"/>
      <c r="X506" s="113">
        <f>SUM(C506:W506)</f>
        <v>0</v>
      </c>
    </row>
    <row r="507" spans="1:24" ht="21" customHeight="1">
      <c r="A507" s="490" t="s">
        <v>230</v>
      </c>
      <c r="B507" s="491"/>
      <c r="C507" s="110">
        <f>SUM(C501:C506)</f>
        <v>17300</v>
      </c>
      <c r="D507" s="110">
        <f aca="true" t="shared" si="132" ref="D507:U507">SUM(D501:D506)</f>
        <v>4600</v>
      </c>
      <c r="E507" s="110">
        <f t="shared" si="132"/>
        <v>0</v>
      </c>
      <c r="F507" s="110">
        <f t="shared" si="132"/>
        <v>2500</v>
      </c>
      <c r="G507" s="110">
        <f t="shared" si="132"/>
        <v>0</v>
      </c>
      <c r="H507" s="110">
        <f t="shared" si="132"/>
        <v>0</v>
      </c>
      <c r="I507" s="110">
        <f t="shared" si="132"/>
        <v>0</v>
      </c>
      <c r="J507" s="110">
        <f t="shared" si="132"/>
        <v>0</v>
      </c>
      <c r="K507" s="110">
        <f t="shared" si="132"/>
        <v>0</v>
      </c>
      <c r="L507" s="110">
        <f t="shared" si="132"/>
        <v>8100</v>
      </c>
      <c r="M507" s="110">
        <f t="shared" si="132"/>
        <v>0</v>
      </c>
      <c r="N507" s="110">
        <f t="shared" si="132"/>
        <v>0</v>
      </c>
      <c r="O507" s="110">
        <f t="shared" si="132"/>
        <v>2300</v>
      </c>
      <c r="P507" s="110">
        <f t="shared" si="132"/>
        <v>0</v>
      </c>
      <c r="Q507" s="110">
        <f t="shared" si="132"/>
        <v>0</v>
      </c>
      <c r="R507" s="110">
        <f t="shared" si="132"/>
        <v>0</v>
      </c>
      <c r="S507" s="110">
        <f t="shared" si="132"/>
        <v>0</v>
      </c>
      <c r="T507" s="110">
        <f t="shared" si="132"/>
        <v>0</v>
      </c>
      <c r="U507" s="110">
        <f t="shared" si="132"/>
        <v>0</v>
      </c>
      <c r="V507" s="110">
        <f>SUM(V501:V506)</f>
        <v>0</v>
      </c>
      <c r="W507" s="110">
        <f>SUM(W501:W506)</f>
        <v>0</v>
      </c>
      <c r="X507" s="110">
        <f>SUM(C507:W507)</f>
        <v>34800</v>
      </c>
    </row>
    <row r="508" spans="1:24" ht="21" customHeight="1">
      <c r="A508" s="492" t="s">
        <v>231</v>
      </c>
      <c r="B508" s="493"/>
      <c r="C508" s="114">
        <f>+C507+C392</f>
        <v>82174</v>
      </c>
      <c r="D508" s="114">
        <f aca="true" t="shared" si="133" ref="D508:X508">+D507+D392</f>
        <v>17350</v>
      </c>
      <c r="E508" s="114">
        <f t="shared" si="133"/>
        <v>0</v>
      </c>
      <c r="F508" s="114">
        <f t="shared" si="133"/>
        <v>10000</v>
      </c>
      <c r="G508" s="114">
        <f t="shared" si="133"/>
        <v>0</v>
      </c>
      <c r="H508" s="114">
        <f t="shared" si="133"/>
        <v>0</v>
      </c>
      <c r="I508" s="114">
        <f t="shared" si="133"/>
        <v>0</v>
      </c>
      <c r="J508" s="114">
        <f t="shared" si="133"/>
        <v>0</v>
      </c>
      <c r="K508" s="114">
        <f t="shared" si="133"/>
        <v>0</v>
      </c>
      <c r="L508" s="114">
        <f t="shared" si="133"/>
        <v>24137</v>
      </c>
      <c r="M508" s="114">
        <f t="shared" si="133"/>
        <v>0</v>
      </c>
      <c r="N508" s="114">
        <f t="shared" si="133"/>
        <v>0</v>
      </c>
      <c r="O508" s="114">
        <f t="shared" si="133"/>
        <v>8150</v>
      </c>
      <c r="P508" s="114">
        <f t="shared" si="133"/>
        <v>0</v>
      </c>
      <c r="Q508" s="114">
        <f t="shared" si="133"/>
        <v>0</v>
      </c>
      <c r="R508" s="114">
        <f t="shared" si="133"/>
        <v>0</v>
      </c>
      <c r="S508" s="114">
        <f t="shared" si="133"/>
        <v>0</v>
      </c>
      <c r="T508" s="114">
        <f t="shared" si="133"/>
        <v>0</v>
      </c>
      <c r="U508" s="114">
        <f t="shared" si="133"/>
        <v>0</v>
      </c>
      <c r="V508" s="114">
        <f t="shared" si="133"/>
        <v>0</v>
      </c>
      <c r="W508" s="114">
        <f t="shared" si="133"/>
        <v>0</v>
      </c>
      <c r="X508" s="114">
        <f t="shared" si="133"/>
        <v>141811</v>
      </c>
    </row>
    <row r="509" spans="1:24" ht="21" customHeight="1">
      <c r="A509" s="488" t="s">
        <v>272</v>
      </c>
      <c r="B509" s="489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95"/>
      <c r="P509" s="195"/>
      <c r="Q509" s="115"/>
      <c r="R509" s="115"/>
      <c r="S509" s="115"/>
      <c r="T509" s="115"/>
      <c r="U509" s="115"/>
      <c r="V509" s="115"/>
      <c r="W509" s="115"/>
      <c r="X509" s="116">
        <f>SUM(C509:W509)</f>
        <v>0</v>
      </c>
    </row>
    <row r="510" spans="1:24" ht="21" customHeight="1">
      <c r="A510" s="108">
        <v>320100</v>
      </c>
      <c r="B510" s="73" t="s">
        <v>244</v>
      </c>
      <c r="C510" s="76">
        <f>7000+7000+3200+500+500+958.5+958.5+4000+4000</f>
        <v>28117</v>
      </c>
      <c r="D510" s="76">
        <v>1455</v>
      </c>
      <c r="E510" s="76"/>
      <c r="F510" s="76"/>
      <c r="G510" s="76">
        <f>7000+7000+7000+4500+3600</f>
        <v>29100</v>
      </c>
      <c r="H510" s="76"/>
      <c r="I510" s="76"/>
      <c r="J510" s="76">
        <f>7000+7000</f>
        <v>14000</v>
      </c>
      <c r="K510" s="76"/>
      <c r="L510" s="76"/>
      <c r="M510" s="76"/>
      <c r="N510" s="76">
        <f>7000+7000+7000+7000+9933.75</f>
        <v>37933.75</v>
      </c>
      <c r="O510" s="192"/>
      <c r="P510" s="192">
        <v>4030</v>
      </c>
      <c r="Q510" s="76"/>
      <c r="R510" s="76"/>
      <c r="S510" s="76"/>
      <c r="T510" s="76"/>
      <c r="U510" s="76"/>
      <c r="V510" s="76">
        <f>8000+3600</f>
        <v>11600</v>
      </c>
      <c r="W510" s="76"/>
      <c r="X510" s="110">
        <f>SUM(C510:W510)</f>
        <v>126235.75</v>
      </c>
    </row>
    <row r="511" spans="1:24" ht="21" customHeight="1">
      <c r="A511" s="108">
        <v>320200</v>
      </c>
      <c r="B511" s="73" t="s">
        <v>245</v>
      </c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192"/>
      <c r="P511" s="192"/>
      <c r="Q511" s="76"/>
      <c r="R511" s="76"/>
      <c r="S511" s="76"/>
      <c r="T511" s="76"/>
      <c r="U511" s="76"/>
      <c r="V511" s="76"/>
      <c r="W511" s="76"/>
      <c r="X511" s="110">
        <f>SUM(C511:W511)</f>
        <v>0</v>
      </c>
    </row>
    <row r="512" spans="1:24" ht="21" customHeight="1">
      <c r="A512" s="108">
        <v>320300</v>
      </c>
      <c r="B512" s="73" t="s">
        <v>246</v>
      </c>
      <c r="C512" s="76">
        <f>7808+6285+6285+720+9413.2</f>
        <v>30511.2</v>
      </c>
      <c r="D512" s="76"/>
      <c r="E512" s="76"/>
      <c r="F512" s="76">
        <f>16600+2417.4+2900</f>
        <v>21917.4</v>
      </c>
      <c r="G512" s="76">
        <v>3612</v>
      </c>
      <c r="H512" s="76"/>
      <c r="I512" s="76"/>
      <c r="J512" s="76"/>
      <c r="K512" s="76"/>
      <c r="L512" s="76">
        <v>2000</v>
      </c>
      <c r="M512" s="76"/>
      <c r="N512" s="76"/>
      <c r="O512" s="192"/>
      <c r="P512" s="192"/>
      <c r="Q512" s="76">
        <f>15600+1200+2000+3000+5040</f>
        <v>26840</v>
      </c>
      <c r="R512" s="76">
        <f>17700+13075</f>
        <v>30775</v>
      </c>
      <c r="S512" s="76">
        <v>11000</v>
      </c>
      <c r="T512" s="76"/>
      <c r="U512" s="76"/>
      <c r="V512" s="76"/>
      <c r="W512" s="76"/>
      <c r="X512" s="110">
        <f>SUM(C512:W512)</f>
        <v>126655.6</v>
      </c>
    </row>
    <row r="513" spans="1:24" ht="21" customHeight="1">
      <c r="A513" s="111">
        <v>320400</v>
      </c>
      <c r="B513" s="74" t="s">
        <v>247</v>
      </c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193"/>
      <c r="P513" s="193"/>
      <c r="Q513" s="87"/>
      <c r="R513" s="87"/>
      <c r="S513" s="87"/>
      <c r="T513" s="87"/>
      <c r="U513" s="87"/>
      <c r="V513" s="87"/>
      <c r="W513" s="87"/>
      <c r="X513" s="110">
        <f>SUM(C513:W513)</f>
        <v>0</v>
      </c>
    </row>
    <row r="514" spans="1:25" ht="21" customHeight="1">
      <c r="A514" s="490" t="s">
        <v>230</v>
      </c>
      <c r="B514" s="491"/>
      <c r="C514" s="110">
        <f>SUM(C510:C513)</f>
        <v>58628.2</v>
      </c>
      <c r="D514" s="110">
        <f aca="true" t="shared" si="134" ref="D514:W514">SUM(D510:D513)</f>
        <v>1455</v>
      </c>
      <c r="E514" s="110">
        <f t="shared" si="134"/>
        <v>0</v>
      </c>
      <c r="F514" s="110">
        <f t="shared" si="134"/>
        <v>21917.4</v>
      </c>
      <c r="G514" s="110">
        <f t="shared" si="134"/>
        <v>32712</v>
      </c>
      <c r="H514" s="110">
        <f t="shared" si="134"/>
        <v>0</v>
      </c>
      <c r="I514" s="110">
        <f t="shared" si="134"/>
        <v>0</v>
      </c>
      <c r="J514" s="110">
        <f t="shared" si="134"/>
        <v>14000</v>
      </c>
      <c r="K514" s="110">
        <f t="shared" si="134"/>
        <v>0</v>
      </c>
      <c r="L514" s="110">
        <f t="shared" si="134"/>
        <v>2000</v>
      </c>
      <c r="M514" s="110">
        <f t="shared" si="134"/>
        <v>0</v>
      </c>
      <c r="N514" s="110">
        <f t="shared" si="134"/>
        <v>37933.75</v>
      </c>
      <c r="O514" s="110">
        <f t="shared" si="134"/>
        <v>0</v>
      </c>
      <c r="P514" s="110">
        <f t="shared" si="134"/>
        <v>4030</v>
      </c>
      <c r="Q514" s="110">
        <f t="shared" si="134"/>
        <v>26840</v>
      </c>
      <c r="R514" s="110">
        <f t="shared" si="134"/>
        <v>30775</v>
      </c>
      <c r="S514" s="110">
        <f t="shared" si="134"/>
        <v>11000</v>
      </c>
      <c r="T514" s="110">
        <f t="shared" si="134"/>
        <v>0</v>
      </c>
      <c r="U514" s="110">
        <f t="shared" si="134"/>
        <v>0</v>
      </c>
      <c r="V514" s="110">
        <f t="shared" si="134"/>
        <v>11600</v>
      </c>
      <c r="W514" s="110">
        <f t="shared" si="134"/>
        <v>0</v>
      </c>
      <c r="X514" s="110">
        <f>SUM(X510:X513)</f>
        <v>252891.35</v>
      </c>
      <c r="Y514" s="106">
        <f>229691.35+23200</f>
        <v>252891.35</v>
      </c>
    </row>
    <row r="515" spans="1:24" ht="21" customHeight="1">
      <c r="A515" s="492" t="s">
        <v>231</v>
      </c>
      <c r="B515" s="493"/>
      <c r="C515" s="114">
        <f>+C514+C399</f>
        <v>256863.11</v>
      </c>
      <c r="D515" s="114">
        <f aca="true" t="shared" si="135" ref="D515:X515">+D514+D399</f>
        <v>39163.8</v>
      </c>
      <c r="E515" s="114">
        <f t="shared" si="135"/>
        <v>0</v>
      </c>
      <c r="F515" s="114">
        <f t="shared" si="135"/>
        <v>44867.4</v>
      </c>
      <c r="G515" s="114">
        <f t="shared" si="135"/>
        <v>123812</v>
      </c>
      <c r="H515" s="114">
        <f t="shared" si="135"/>
        <v>490000</v>
      </c>
      <c r="I515" s="114">
        <f t="shared" si="135"/>
        <v>0</v>
      </c>
      <c r="J515" s="114">
        <f t="shared" si="135"/>
        <v>56000</v>
      </c>
      <c r="K515" s="114">
        <f t="shared" si="135"/>
        <v>0</v>
      </c>
      <c r="L515" s="114">
        <f t="shared" si="135"/>
        <v>12960</v>
      </c>
      <c r="M515" s="114">
        <f t="shared" si="135"/>
        <v>0</v>
      </c>
      <c r="N515" s="114">
        <f t="shared" si="135"/>
        <v>169621.25</v>
      </c>
      <c r="O515" s="114">
        <f t="shared" si="135"/>
        <v>0</v>
      </c>
      <c r="P515" s="114">
        <f t="shared" si="135"/>
        <v>73490</v>
      </c>
      <c r="Q515" s="114">
        <f t="shared" si="135"/>
        <v>26840</v>
      </c>
      <c r="R515" s="114">
        <f t="shared" si="135"/>
        <v>150205</v>
      </c>
      <c r="S515" s="114">
        <f t="shared" si="135"/>
        <v>11000</v>
      </c>
      <c r="T515" s="114">
        <f t="shared" si="135"/>
        <v>0</v>
      </c>
      <c r="U515" s="114">
        <f t="shared" si="135"/>
        <v>0</v>
      </c>
      <c r="V515" s="114">
        <f t="shared" si="135"/>
        <v>52185</v>
      </c>
      <c r="W515" s="114">
        <f t="shared" si="135"/>
        <v>0</v>
      </c>
      <c r="X515" s="114">
        <f t="shared" si="135"/>
        <v>1507007.56</v>
      </c>
    </row>
    <row r="516" spans="1:24" ht="21" customHeight="1">
      <c r="A516" s="488" t="s">
        <v>273</v>
      </c>
      <c r="B516" s="489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95"/>
      <c r="P516" s="195"/>
      <c r="Q516" s="115"/>
      <c r="R516" s="115"/>
      <c r="S516" s="115"/>
      <c r="T516" s="115"/>
      <c r="U516" s="115"/>
      <c r="V516" s="115"/>
      <c r="W516" s="115"/>
      <c r="X516" s="116">
        <f>SUM(C516:W516)</f>
        <v>0</v>
      </c>
    </row>
    <row r="517" spans="1:24" ht="21" customHeight="1">
      <c r="A517" s="108">
        <v>330100</v>
      </c>
      <c r="B517" s="73" t="s">
        <v>248</v>
      </c>
      <c r="C517" s="76">
        <v>10428</v>
      </c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192"/>
      <c r="P517" s="192"/>
      <c r="Q517" s="76"/>
      <c r="R517" s="76"/>
      <c r="S517" s="76"/>
      <c r="T517" s="76"/>
      <c r="U517" s="76"/>
      <c r="V517" s="76"/>
      <c r="W517" s="76"/>
      <c r="X517" s="110">
        <f>SUM(C517:W517)</f>
        <v>10428</v>
      </c>
    </row>
    <row r="518" spans="1:24" ht="21" customHeight="1">
      <c r="A518" s="108">
        <v>330200</v>
      </c>
      <c r="B518" s="73" t="s">
        <v>249</v>
      </c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192"/>
      <c r="P518" s="192"/>
      <c r="Q518" s="76"/>
      <c r="R518" s="76"/>
      <c r="S518" s="76"/>
      <c r="T518" s="76"/>
      <c r="U518" s="76"/>
      <c r="V518" s="76"/>
      <c r="W518" s="76"/>
      <c r="X518" s="110">
        <f aca="true" t="shared" si="136" ref="X518:X524">SUM(C518:W518)</f>
        <v>0</v>
      </c>
    </row>
    <row r="519" spans="1:24" ht="21" customHeight="1">
      <c r="A519" s="108">
        <v>330300</v>
      </c>
      <c r="B519" s="73" t="s">
        <v>326</v>
      </c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192"/>
      <c r="P519" s="192"/>
      <c r="Q519" s="76"/>
      <c r="R519" s="76"/>
      <c r="S519" s="76"/>
      <c r="T519" s="76"/>
      <c r="U519" s="76"/>
      <c r="V519" s="76"/>
      <c r="W519" s="76"/>
      <c r="X519" s="110">
        <f t="shared" si="136"/>
        <v>0</v>
      </c>
    </row>
    <row r="520" spans="1:24" ht="21" customHeight="1">
      <c r="A520" s="108">
        <v>330400</v>
      </c>
      <c r="B520" s="73" t="s">
        <v>274</v>
      </c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192"/>
      <c r="P520" s="192"/>
      <c r="Q520" s="76"/>
      <c r="R520" s="76"/>
      <c r="S520" s="76"/>
      <c r="T520" s="76"/>
      <c r="U520" s="76"/>
      <c r="V520" s="76"/>
      <c r="W520" s="76"/>
      <c r="X520" s="110">
        <f t="shared" si="136"/>
        <v>0</v>
      </c>
    </row>
    <row r="521" spans="1:24" ht="21" customHeight="1">
      <c r="A521" s="108">
        <v>330600</v>
      </c>
      <c r="B521" s="73" t="s">
        <v>250</v>
      </c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192"/>
      <c r="P521" s="192"/>
      <c r="Q521" s="76"/>
      <c r="R521" s="76"/>
      <c r="S521" s="76"/>
      <c r="T521" s="76"/>
      <c r="U521" s="76"/>
      <c r="V521" s="76">
        <v>5500</v>
      </c>
      <c r="W521" s="76"/>
      <c r="X521" s="110">
        <f t="shared" si="136"/>
        <v>5500</v>
      </c>
    </row>
    <row r="522" spans="1:24" ht="21" customHeight="1">
      <c r="A522" s="108">
        <v>330700</v>
      </c>
      <c r="B522" s="73" t="s">
        <v>494</v>
      </c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192"/>
      <c r="P522" s="192"/>
      <c r="Q522" s="76"/>
      <c r="R522" s="76"/>
      <c r="S522" s="76"/>
      <c r="T522" s="76"/>
      <c r="U522" s="76"/>
      <c r="V522" s="76"/>
      <c r="W522" s="76"/>
      <c r="X522" s="110">
        <f t="shared" si="136"/>
        <v>0</v>
      </c>
    </row>
    <row r="523" spans="1:24" ht="21" customHeight="1">
      <c r="A523" s="108">
        <v>330800</v>
      </c>
      <c r="B523" s="73" t="s">
        <v>251</v>
      </c>
      <c r="C523" s="76">
        <v>20883.36</v>
      </c>
      <c r="D523" s="76"/>
      <c r="E523" s="76"/>
      <c r="F523" s="76"/>
      <c r="G523" s="76"/>
      <c r="H523" s="76"/>
      <c r="I523" s="76"/>
      <c r="J523" s="76">
        <v>8000</v>
      </c>
      <c r="K523" s="76"/>
      <c r="L523" s="76"/>
      <c r="M523" s="76"/>
      <c r="N523" s="76">
        <v>27780</v>
      </c>
      <c r="O523" s="192"/>
      <c r="P523" s="192"/>
      <c r="Q523" s="76"/>
      <c r="R523" s="76"/>
      <c r="S523" s="76"/>
      <c r="T523" s="76"/>
      <c r="U523" s="76"/>
      <c r="V523" s="76"/>
      <c r="W523" s="76"/>
      <c r="X523" s="110">
        <f>SUM(C523:W523)</f>
        <v>56663.36</v>
      </c>
    </row>
    <row r="524" spans="1:24" ht="21" customHeight="1">
      <c r="A524" s="108">
        <v>330900</v>
      </c>
      <c r="B524" s="73" t="s">
        <v>253</v>
      </c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192"/>
      <c r="P524" s="192"/>
      <c r="Q524" s="76"/>
      <c r="R524" s="76"/>
      <c r="S524" s="76"/>
      <c r="T524" s="76"/>
      <c r="U524" s="76"/>
      <c r="V524" s="76"/>
      <c r="W524" s="76"/>
      <c r="X524" s="110">
        <f t="shared" si="136"/>
        <v>0</v>
      </c>
    </row>
    <row r="525" spans="1:24" ht="21" customHeight="1">
      <c r="A525" s="497" t="s">
        <v>194</v>
      </c>
      <c r="B525" s="497"/>
      <c r="C525" s="496" t="s">
        <v>196</v>
      </c>
      <c r="D525" s="496"/>
      <c r="E525" s="499" t="s">
        <v>199</v>
      </c>
      <c r="F525" s="500"/>
      <c r="G525" s="496" t="s">
        <v>201</v>
      </c>
      <c r="H525" s="497"/>
      <c r="I525" s="499" t="s">
        <v>215</v>
      </c>
      <c r="J525" s="500"/>
      <c r="K525" s="366" t="s">
        <v>216</v>
      </c>
      <c r="L525" s="499" t="s">
        <v>217</v>
      </c>
      <c r="M525" s="501"/>
      <c r="N525" s="500"/>
      <c r="O525" s="499" t="s">
        <v>218</v>
      </c>
      <c r="P525" s="500"/>
      <c r="Q525" s="499" t="s">
        <v>219</v>
      </c>
      <c r="R525" s="501"/>
      <c r="S525" s="500"/>
      <c r="T525" s="496" t="s">
        <v>220</v>
      </c>
      <c r="U525" s="497"/>
      <c r="V525" s="366" t="s">
        <v>284</v>
      </c>
      <c r="W525" s="366" t="s">
        <v>221</v>
      </c>
      <c r="X525" s="498" t="s">
        <v>17</v>
      </c>
    </row>
    <row r="526" spans="1:24" ht="21" customHeight="1">
      <c r="A526" s="497" t="s">
        <v>195</v>
      </c>
      <c r="B526" s="497"/>
      <c r="C526" s="366" t="s">
        <v>197</v>
      </c>
      <c r="D526" s="366" t="s">
        <v>198</v>
      </c>
      <c r="E526" s="366" t="s">
        <v>200</v>
      </c>
      <c r="F526" s="366" t="s">
        <v>288</v>
      </c>
      <c r="G526" s="366" t="s">
        <v>202</v>
      </c>
      <c r="H526" s="366" t="s">
        <v>203</v>
      </c>
      <c r="I526" s="366" t="s">
        <v>204</v>
      </c>
      <c r="J526" s="366" t="s">
        <v>205</v>
      </c>
      <c r="K526" s="366" t="s">
        <v>206</v>
      </c>
      <c r="L526" s="366" t="s">
        <v>207</v>
      </c>
      <c r="M526" s="366" t="s">
        <v>208</v>
      </c>
      <c r="N526" s="366" t="s">
        <v>334</v>
      </c>
      <c r="O526" s="367" t="s">
        <v>471</v>
      </c>
      <c r="P526" s="367" t="s">
        <v>209</v>
      </c>
      <c r="Q526" s="366" t="s">
        <v>210</v>
      </c>
      <c r="R526" s="366" t="s">
        <v>211</v>
      </c>
      <c r="S526" s="366" t="s">
        <v>290</v>
      </c>
      <c r="T526" s="366" t="s">
        <v>212</v>
      </c>
      <c r="U526" s="366" t="s">
        <v>213</v>
      </c>
      <c r="V526" s="366" t="s">
        <v>285</v>
      </c>
      <c r="W526" s="366" t="s">
        <v>214</v>
      </c>
      <c r="X526" s="498"/>
    </row>
    <row r="527" spans="1:24" ht="21" customHeight="1">
      <c r="A527" s="300">
        <v>331000</v>
      </c>
      <c r="B527" s="303" t="s">
        <v>462</v>
      </c>
      <c r="C527" s="304"/>
      <c r="D527" s="301"/>
      <c r="E527" s="301"/>
      <c r="F527" s="301"/>
      <c r="G527" s="301"/>
      <c r="H527" s="301"/>
      <c r="I527" s="301"/>
      <c r="J527" s="301"/>
      <c r="K527" s="301"/>
      <c r="L527" s="301"/>
      <c r="M527" s="301"/>
      <c r="N527" s="301"/>
      <c r="O527" s="302"/>
      <c r="P527" s="302"/>
      <c r="Q527" s="301"/>
      <c r="R527" s="301"/>
      <c r="S527" s="301"/>
      <c r="T527" s="301"/>
      <c r="U527" s="301"/>
      <c r="V527" s="301"/>
      <c r="W527" s="301"/>
      <c r="X527" s="110">
        <f>SUM(C527:W527)</f>
        <v>0</v>
      </c>
    </row>
    <row r="528" spans="1:24" ht="21" customHeight="1">
      <c r="A528" s="108">
        <v>331200</v>
      </c>
      <c r="B528" s="73" t="s">
        <v>254</v>
      </c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192"/>
      <c r="P528" s="192"/>
      <c r="Q528" s="76"/>
      <c r="R528" s="76"/>
      <c r="S528" s="76"/>
      <c r="T528" s="76"/>
      <c r="U528" s="76"/>
      <c r="V528" s="76"/>
      <c r="W528" s="76"/>
      <c r="X528" s="110">
        <f>SUM(C528:W528)</f>
        <v>0</v>
      </c>
    </row>
    <row r="529" spans="1:24" ht="21" customHeight="1">
      <c r="A529" s="108">
        <v>331300</v>
      </c>
      <c r="B529" s="73" t="s">
        <v>255</v>
      </c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192"/>
      <c r="P529" s="192"/>
      <c r="Q529" s="76"/>
      <c r="R529" s="76"/>
      <c r="S529" s="76"/>
      <c r="T529" s="76"/>
      <c r="U529" s="76"/>
      <c r="V529" s="76"/>
      <c r="W529" s="76"/>
      <c r="X529" s="110">
        <f>SUM(C529:W529)</f>
        <v>0</v>
      </c>
    </row>
    <row r="530" spans="1:24" ht="21" customHeight="1">
      <c r="A530" s="108">
        <v>331400</v>
      </c>
      <c r="B530" s="73" t="s">
        <v>252</v>
      </c>
      <c r="C530" s="76"/>
      <c r="D530" s="76">
        <v>6530</v>
      </c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192"/>
      <c r="P530" s="192"/>
      <c r="Q530" s="76"/>
      <c r="R530" s="76"/>
      <c r="S530" s="76"/>
      <c r="T530" s="76"/>
      <c r="U530" s="76"/>
      <c r="V530" s="76"/>
      <c r="W530" s="76"/>
      <c r="X530" s="110">
        <f>SUM(C530:W530)</f>
        <v>6530</v>
      </c>
    </row>
    <row r="531" spans="1:24" ht="21" customHeight="1">
      <c r="A531" s="108">
        <v>331500</v>
      </c>
      <c r="B531" s="73" t="s">
        <v>256</v>
      </c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192"/>
      <c r="P531" s="192"/>
      <c r="Q531" s="76"/>
      <c r="R531" s="76"/>
      <c r="S531" s="76"/>
      <c r="T531" s="76"/>
      <c r="U531" s="76"/>
      <c r="V531" s="76"/>
      <c r="W531" s="76"/>
      <c r="X531" s="110">
        <f>SUM(C531:W531)</f>
        <v>0</v>
      </c>
    </row>
    <row r="532" spans="1:24" ht="21" customHeight="1">
      <c r="A532" s="111">
        <v>331700</v>
      </c>
      <c r="B532" s="74" t="s">
        <v>257</v>
      </c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193"/>
      <c r="P532" s="193"/>
      <c r="Q532" s="87"/>
      <c r="R532" s="87"/>
      <c r="S532" s="87"/>
      <c r="T532" s="87"/>
      <c r="U532" s="87"/>
      <c r="V532" s="87"/>
      <c r="W532" s="87"/>
      <c r="X532" s="110">
        <f>SUM(C532:W532)</f>
        <v>0</v>
      </c>
    </row>
    <row r="533" spans="1:25" ht="21" customHeight="1">
      <c r="A533" s="490" t="s">
        <v>230</v>
      </c>
      <c r="B533" s="491"/>
      <c r="C533" s="110">
        <f aca="true" t="shared" si="137" ref="C533:W533">SUM(C517:C532)</f>
        <v>31311.36</v>
      </c>
      <c r="D533" s="110">
        <f t="shared" si="137"/>
        <v>6530</v>
      </c>
      <c r="E533" s="110">
        <f t="shared" si="137"/>
        <v>0</v>
      </c>
      <c r="F533" s="110">
        <f t="shared" si="137"/>
        <v>0</v>
      </c>
      <c r="G533" s="110">
        <f t="shared" si="137"/>
        <v>0</v>
      </c>
      <c r="H533" s="110">
        <f t="shared" si="137"/>
        <v>0</v>
      </c>
      <c r="I533" s="110">
        <f t="shared" si="137"/>
        <v>0</v>
      </c>
      <c r="J533" s="110">
        <f t="shared" si="137"/>
        <v>8000</v>
      </c>
      <c r="K533" s="110">
        <f t="shared" si="137"/>
        <v>0</v>
      </c>
      <c r="L533" s="110">
        <f t="shared" si="137"/>
        <v>0</v>
      </c>
      <c r="M533" s="110">
        <f t="shared" si="137"/>
        <v>0</v>
      </c>
      <c r="N533" s="110">
        <f t="shared" si="137"/>
        <v>27780</v>
      </c>
      <c r="O533" s="110">
        <f t="shared" si="137"/>
        <v>0</v>
      </c>
      <c r="P533" s="110">
        <f t="shared" si="137"/>
        <v>0</v>
      </c>
      <c r="Q533" s="110">
        <f t="shared" si="137"/>
        <v>0</v>
      </c>
      <c r="R533" s="110">
        <f t="shared" si="137"/>
        <v>0</v>
      </c>
      <c r="S533" s="110">
        <f t="shared" si="137"/>
        <v>0</v>
      </c>
      <c r="T533" s="110">
        <f t="shared" si="137"/>
        <v>0</v>
      </c>
      <c r="U533" s="110">
        <f t="shared" si="137"/>
        <v>0</v>
      </c>
      <c r="V533" s="110">
        <f t="shared" si="137"/>
        <v>5500</v>
      </c>
      <c r="W533" s="110">
        <f t="shared" si="137"/>
        <v>0</v>
      </c>
      <c r="X533" s="110">
        <f>SUM(X517:X532)</f>
        <v>79121.36</v>
      </c>
      <c r="Y533" s="106">
        <v>79121.36</v>
      </c>
    </row>
    <row r="534" spans="1:25" ht="21" customHeight="1">
      <c r="A534" s="492" t="s">
        <v>231</v>
      </c>
      <c r="B534" s="493"/>
      <c r="C534" s="114">
        <f>+C533+C418</f>
        <v>208167.36</v>
      </c>
      <c r="D534" s="114">
        <f aca="true" t="shared" si="138" ref="D534:X534">+D533+D418</f>
        <v>57870</v>
      </c>
      <c r="E534" s="114">
        <f t="shared" si="138"/>
        <v>0</v>
      </c>
      <c r="F534" s="114">
        <f t="shared" si="138"/>
        <v>0</v>
      </c>
      <c r="G534" s="114">
        <f t="shared" si="138"/>
        <v>0</v>
      </c>
      <c r="H534" s="114">
        <f t="shared" si="138"/>
        <v>0</v>
      </c>
      <c r="I534" s="114">
        <f t="shared" si="138"/>
        <v>0</v>
      </c>
      <c r="J534" s="114">
        <f t="shared" si="138"/>
        <v>31130</v>
      </c>
      <c r="K534" s="114">
        <f t="shared" si="138"/>
        <v>0</v>
      </c>
      <c r="L534" s="114">
        <f t="shared" si="138"/>
        <v>11880</v>
      </c>
      <c r="M534" s="114">
        <f t="shared" si="138"/>
        <v>0</v>
      </c>
      <c r="N534" s="114">
        <f t="shared" si="138"/>
        <v>147740</v>
      </c>
      <c r="O534" s="114">
        <f t="shared" si="138"/>
        <v>0</v>
      </c>
      <c r="P534" s="114">
        <f t="shared" si="138"/>
        <v>0</v>
      </c>
      <c r="Q534" s="114">
        <f t="shared" si="138"/>
        <v>24870</v>
      </c>
      <c r="R534" s="114">
        <f t="shared" si="138"/>
        <v>0</v>
      </c>
      <c r="S534" s="114">
        <f t="shared" si="138"/>
        <v>0</v>
      </c>
      <c r="T534" s="114">
        <f t="shared" si="138"/>
        <v>0</v>
      </c>
      <c r="U534" s="114">
        <f t="shared" si="138"/>
        <v>24200</v>
      </c>
      <c r="V534" s="114">
        <f t="shared" si="138"/>
        <v>23686</v>
      </c>
      <c r="W534" s="114">
        <f t="shared" si="138"/>
        <v>0</v>
      </c>
      <c r="X534" s="114">
        <f t="shared" si="138"/>
        <v>529543.36</v>
      </c>
      <c r="Y534" s="106">
        <f>+Y533-X533</f>
        <v>0</v>
      </c>
    </row>
    <row r="535" spans="1:24" ht="21" customHeight="1">
      <c r="A535" s="488" t="s">
        <v>275</v>
      </c>
      <c r="B535" s="489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95"/>
      <c r="P535" s="195"/>
      <c r="Q535" s="115"/>
      <c r="R535" s="115"/>
      <c r="S535" s="115"/>
      <c r="T535" s="115"/>
      <c r="U535" s="115"/>
      <c r="V535" s="115"/>
      <c r="W535" s="115"/>
      <c r="X535" s="116">
        <f>SUM(C535:W535)</f>
        <v>0</v>
      </c>
    </row>
    <row r="536" spans="1:24" ht="21" customHeight="1">
      <c r="A536" s="108">
        <v>340100</v>
      </c>
      <c r="B536" s="73" t="s">
        <v>258</v>
      </c>
      <c r="C536" s="76">
        <v>16241.87</v>
      </c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192"/>
      <c r="P536" s="192"/>
      <c r="Q536" s="76"/>
      <c r="R536" s="76"/>
      <c r="S536" s="76"/>
      <c r="T536" s="76"/>
      <c r="U536" s="76"/>
      <c r="V536" s="76">
        <v>47214.94</v>
      </c>
      <c r="W536" s="76"/>
      <c r="X536" s="110">
        <f>SUM(C536:W536)</f>
        <v>63456.810000000005</v>
      </c>
    </row>
    <row r="537" spans="1:24" ht="21" customHeight="1">
      <c r="A537" s="108">
        <v>340300</v>
      </c>
      <c r="B537" s="73" t="s">
        <v>259</v>
      </c>
      <c r="C537" s="76">
        <v>444.05</v>
      </c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192"/>
      <c r="P537" s="192"/>
      <c r="Q537" s="76"/>
      <c r="R537" s="76"/>
      <c r="S537" s="76"/>
      <c r="T537" s="76"/>
      <c r="U537" s="76"/>
      <c r="V537" s="76"/>
      <c r="W537" s="76"/>
      <c r="X537" s="110">
        <f>SUM(C537:W537)</f>
        <v>444.05</v>
      </c>
    </row>
    <row r="538" spans="1:24" ht="21" customHeight="1">
      <c r="A538" s="108">
        <v>340400</v>
      </c>
      <c r="B538" s="73" t="s">
        <v>260</v>
      </c>
      <c r="C538" s="76">
        <v>6126</v>
      </c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192"/>
      <c r="P538" s="192"/>
      <c r="Q538" s="76"/>
      <c r="R538" s="76"/>
      <c r="S538" s="76"/>
      <c r="T538" s="76"/>
      <c r="U538" s="76"/>
      <c r="V538" s="76"/>
      <c r="W538" s="76"/>
      <c r="X538" s="110">
        <f>SUM(C538:W538)</f>
        <v>6126</v>
      </c>
    </row>
    <row r="539" spans="1:24" ht="21" customHeight="1">
      <c r="A539" s="111">
        <v>340500</v>
      </c>
      <c r="B539" s="74" t="s">
        <v>261</v>
      </c>
      <c r="C539" s="76">
        <v>8560</v>
      </c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193"/>
      <c r="P539" s="193"/>
      <c r="Q539" s="87"/>
      <c r="R539" s="87"/>
      <c r="S539" s="87"/>
      <c r="T539" s="87"/>
      <c r="U539" s="87"/>
      <c r="V539" s="87"/>
      <c r="W539" s="87"/>
      <c r="X539" s="113">
        <f>SUM(C539:W539)</f>
        <v>8560</v>
      </c>
    </row>
    <row r="540" spans="1:24" ht="21" customHeight="1">
      <c r="A540" s="490" t="s">
        <v>230</v>
      </c>
      <c r="B540" s="491"/>
      <c r="C540" s="110">
        <f>SUM(C536:C539)</f>
        <v>31371.920000000002</v>
      </c>
      <c r="D540" s="110">
        <f aca="true" t="shared" si="139" ref="D540:X540">SUM(D536:D539)</f>
        <v>0</v>
      </c>
      <c r="E540" s="110">
        <f t="shared" si="139"/>
        <v>0</v>
      </c>
      <c r="F540" s="110">
        <f t="shared" si="139"/>
        <v>0</v>
      </c>
      <c r="G540" s="110">
        <f t="shared" si="139"/>
        <v>0</v>
      </c>
      <c r="H540" s="110">
        <f t="shared" si="139"/>
        <v>0</v>
      </c>
      <c r="I540" s="110">
        <f t="shared" si="139"/>
        <v>0</v>
      </c>
      <c r="J540" s="110">
        <f t="shared" si="139"/>
        <v>0</v>
      </c>
      <c r="K540" s="110">
        <f t="shared" si="139"/>
        <v>0</v>
      </c>
      <c r="L540" s="110">
        <f t="shared" si="139"/>
        <v>0</v>
      </c>
      <c r="M540" s="110">
        <f t="shared" si="139"/>
        <v>0</v>
      </c>
      <c r="N540" s="110">
        <f t="shared" si="139"/>
        <v>0</v>
      </c>
      <c r="O540" s="110">
        <f t="shared" si="139"/>
        <v>0</v>
      </c>
      <c r="P540" s="110">
        <f t="shared" si="139"/>
        <v>0</v>
      </c>
      <c r="Q540" s="110">
        <f t="shared" si="139"/>
        <v>0</v>
      </c>
      <c r="R540" s="110">
        <f t="shared" si="139"/>
        <v>0</v>
      </c>
      <c r="S540" s="110">
        <f t="shared" si="139"/>
        <v>0</v>
      </c>
      <c r="T540" s="110">
        <f t="shared" si="139"/>
        <v>0</v>
      </c>
      <c r="U540" s="110">
        <f t="shared" si="139"/>
        <v>0</v>
      </c>
      <c r="V540" s="110">
        <f t="shared" si="139"/>
        <v>47214.94</v>
      </c>
      <c r="W540" s="110">
        <f t="shared" si="139"/>
        <v>0</v>
      </c>
      <c r="X540" s="110">
        <f t="shared" si="139"/>
        <v>78586.86000000002</v>
      </c>
    </row>
    <row r="541" spans="1:24" ht="21" customHeight="1">
      <c r="A541" s="492" t="s">
        <v>231</v>
      </c>
      <c r="B541" s="493"/>
      <c r="C541" s="114">
        <f>+C540+C425</f>
        <v>164873.65</v>
      </c>
      <c r="D541" s="114">
        <f aca="true" t="shared" si="140" ref="D541:X541">+D540+D425</f>
        <v>0</v>
      </c>
      <c r="E541" s="114">
        <f t="shared" si="140"/>
        <v>0</v>
      </c>
      <c r="F541" s="114">
        <f t="shared" si="140"/>
        <v>0</v>
      </c>
      <c r="G541" s="114">
        <f t="shared" si="140"/>
        <v>0</v>
      </c>
      <c r="H541" s="114">
        <f t="shared" si="140"/>
        <v>0</v>
      </c>
      <c r="I541" s="114">
        <f t="shared" si="140"/>
        <v>0</v>
      </c>
      <c r="J541" s="114">
        <f t="shared" si="140"/>
        <v>0</v>
      </c>
      <c r="K541" s="114">
        <f t="shared" si="140"/>
        <v>0</v>
      </c>
      <c r="L541" s="114">
        <f t="shared" si="140"/>
        <v>0</v>
      </c>
      <c r="M541" s="114">
        <f t="shared" si="140"/>
        <v>0</v>
      </c>
      <c r="N541" s="114">
        <f t="shared" si="140"/>
        <v>0</v>
      </c>
      <c r="O541" s="114">
        <f t="shared" si="140"/>
        <v>0</v>
      </c>
      <c r="P541" s="114">
        <f t="shared" si="140"/>
        <v>0</v>
      </c>
      <c r="Q541" s="114">
        <f t="shared" si="140"/>
        <v>0</v>
      </c>
      <c r="R541" s="114">
        <f t="shared" si="140"/>
        <v>0</v>
      </c>
      <c r="S541" s="114">
        <f t="shared" si="140"/>
        <v>0</v>
      </c>
      <c r="T541" s="114">
        <f t="shared" si="140"/>
        <v>0</v>
      </c>
      <c r="U541" s="114">
        <f t="shared" si="140"/>
        <v>0</v>
      </c>
      <c r="V541" s="114">
        <f t="shared" si="140"/>
        <v>263035.42000000004</v>
      </c>
      <c r="W541" s="114">
        <f t="shared" si="140"/>
        <v>0</v>
      </c>
      <c r="X541" s="114">
        <f t="shared" si="140"/>
        <v>427909.06999999995</v>
      </c>
    </row>
    <row r="542" spans="1:24" ht="21" customHeight="1">
      <c r="A542" s="488" t="s">
        <v>276</v>
      </c>
      <c r="B542" s="489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95"/>
      <c r="P542" s="195"/>
      <c r="Q542" s="115"/>
      <c r="R542" s="115"/>
      <c r="S542" s="115"/>
      <c r="T542" s="115"/>
      <c r="U542" s="115"/>
      <c r="V542" s="115"/>
      <c r="W542" s="115"/>
      <c r="X542" s="116">
        <f aca="true" t="shared" si="141" ref="X542:X554">SUM(C542:W542)</f>
        <v>0</v>
      </c>
    </row>
    <row r="543" spans="1:24" ht="21" customHeight="1">
      <c r="A543" s="108">
        <v>410400</v>
      </c>
      <c r="B543" s="73" t="s">
        <v>262</v>
      </c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192"/>
      <c r="P543" s="192"/>
      <c r="Q543" s="76"/>
      <c r="R543" s="76"/>
      <c r="S543" s="76"/>
      <c r="T543" s="76"/>
      <c r="U543" s="76"/>
      <c r="V543" s="76"/>
      <c r="W543" s="76"/>
      <c r="X543" s="110">
        <f t="shared" si="141"/>
        <v>0</v>
      </c>
    </row>
    <row r="544" spans="1:24" ht="21" customHeight="1">
      <c r="A544" s="108">
        <v>410200</v>
      </c>
      <c r="B544" s="73" t="s">
        <v>310</v>
      </c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192"/>
      <c r="P544" s="192"/>
      <c r="Q544" s="76"/>
      <c r="R544" s="76"/>
      <c r="S544" s="76"/>
      <c r="T544" s="76"/>
      <c r="U544" s="76"/>
      <c r="V544" s="76"/>
      <c r="W544" s="76"/>
      <c r="X544" s="110">
        <f t="shared" si="141"/>
        <v>0</v>
      </c>
    </row>
    <row r="545" spans="1:24" ht="21" customHeight="1">
      <c r="A545" s="108">
        <v>410300</v>
      </c>
      <c r="B545" s="73" t="s">
        <v>263</v>
      </c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192"/>
      <c r="P545" s="192"/>
      <c r="Q545" s="76"/>
      <c r="R545" s="76"/>
      <c r="S545" s="76"/>
      <c r="T545" s="76"/>
      <c r="U545" s="76"/>
      <c r="V545" s="76"/>
      <c r="W545" s="76"/>
      <c r="X545" s="110">
        <f t="shared" si="141"/>
        <v>0</v>
      </c>
    </row>
    <row r="546" spans="1:24" ht="21" customHeight="1">
      <c r="A546" s="108">
        <v>410400</v>
      </c>
      <c r="B546" s="73" t="s">
        <v>311</v>
      </c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193"/>
      <c r="P546" s="193"/>
      <c r="Q546" s="87"/>
      <c r="R546" s="87"/>
      <c r="S546" s="87"/>
      <c r="T546" s="87"/>
      <c r="U546" s="87"/>
      <c r="V546" s="87"/>
      <c r="W546" s="87"/>
      <c r="X546" s="110">
        <f t="shared" si="141"/>
        <v>0</v>
      </c>
    </row>
    <row r="547" spans="1:24" ht="21" customHeight="1">
      <c r="A547" s="108">
        <v>410500</v>
      </c>
      <c r="B547" s="73" t="s">
        <v>312</v>
      </c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193"/>
      <c r="P547" s="193"/>
      <c r="Q547" s="87"/>
      <c r="R547" s="87"/>
      <c r="S547" s="87"/>
      <c r="T547" s="87"/>
      <c r="U547" s="87"/>
      <c r="V547" s="87"/>
      <c r="W547" s="87"/>
      <c r="X547" s="110">
        <f t="shared" si="141"/>
        <v>0</v>
      </c>
    </row>
    <row r="548" spans="1:24" ht="21" customHeight="1">
      <c r="A548" s="108">
        <v>410600</v>
      </c>
      <c r="B548" s="73" t="s">
        <v>313</v>
      </c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193"/>
      <c r="P548" s="193"/>
      <c r="Q548" s="87"/>
      <c r="R548" s="87"/>
      <c r="S548" s="87"/>
      <c r="T548" s="87"/>
      <c r="U548" s="87"/>
      <c r="V548" s="87"/>
      <c r="W548" s="87"/>
      <c r="X548" s="110">
        <f t="shared" si="141"/>
        <v>0</v>
      </c>
    </row>
    <row r="549" spans="1:24" ht="21" customHeight="1">
      <c r="A549" s="108">
        <v>410700</v>
      </c>
      <c r="B549" s="73" t="s">
        <v>264</v>
      </c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192"/>
      <c r="P549" s="192"/>
      <c r="Q549" s="76"/>
      <c r="R549" s="76"/>
      <c r="S549" s="76"/>
      <c r="T549" s="76"/>
      <c r="U549" s="76"/>
      <c r="V549" s="76"/>
      <c r="W549" s="76"/>
      <c r="X549" s="110">
        <f t="shared" si="141"/>
        <v>0</v>
      </c>
    </row>
    <row r="550" spans="1:24" ht="21" customHeight="1">
      <c r="A550" s="108">
        <v>410800</v>
      </c>
      <c r="B550" s="73" t="s">
        <v>314</v>
      </c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193"/>
      <c r="P550" s="193"/>
      <c r="Q550" s="87"/>
      <c r="R550" s="87"/>
      <c r="S550" s="87"/>
      <c r="T550" s="87"/>
      <c r="U550" s="87"/>
      <c r="V550" s="87"/>
      <c r="W550" s="87"/>
      <c r="X550" s="110">
        <f t="shared" si="141"/>
        <v>0</v>
      </c>
    </row>
    <row r="551" spans="1:24" ht="21" customHeight="1">
      <c r="A551" s="108">
        <v>410900</v>
      </c>
      <c r="B551" s="73" t="s">
        <v>347</v>
      </c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193"/>
      <c r="P551" s="193"/>
      <c r="Q551" s="87"/>
      <c r="R551" s="87"/>
      <c r="S551" s="87"/>
      <c r="T551" s="87"/>
      <c r="U551" s="87"/>
      <c r="V551" s="87"/>
      <c r="W551" s="87"/>
      <c r="X551" s="110">
        <f t="shared" si="141"/>
        <v>0</v>
      </c>
    </row>
    <row r="552" spans="1:24" ht="21" customHeight="1">
      <c r="A552" s="108">
        <v>411000</v>
      </c>
      <c r="B552" s="73" t="s">
        <v>449</v>
      </c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193"/>
      <c r="P552" s="193"/>
      <c r="Q552" s="87"/>
      <c r="R552" s="87"/>
      <c r="S552" s="87"/>
      <c r="T552" s="87"/>
      <c r="U552" s="87"/>
      <c r="V552" s="87"/>
      <c r="W552" s="87"/>
      <c r="X552" s="110">
        <f t="shared" si="141"/>
        <v>0</v>
      </c>
    </row>
    <row r="553" spans="1:24" ht="21" customHeight="1">
      <c r="A553" s="108">
        <v>411100</v>
      </c>
      <c r="B553" s="73" t="s">
        <v>371</v>
      </c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193"/>
      <c r="P553" s="193"/>
      <c r="Q553" s="87"/>
      <c r="R553" s="87"/>
      <c r="S553" s="87"/>
      <c r="T553" s="87"/>
      <c r="U553" s="87"/>
      <c r="V553" s="87"/>
      <c r="W553" s="87"/>
      <c r="X553" s="110">
        <f t="shared" si="141"/>
        <v>0</v>
      </c>
    </row>
    <row r="554" spans="1:24" ht="21" customHeight="1" hidden="1">
      <c r="A554" s="108">
        <v>411300</v>
      </c>
      <c r="B554" s="73" t="s">
        <v>450</v>
      </c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193"/>
      <c r="P554" s="193"/>
      <c r="Q554" s="87"/>
      <c r="R554" s="87"/>
      <c r="S554" s="87"/>
      <c r="T554" s="87"/>
      <c r="U554" s="87"/>
      <c r="V554" s="87"/>
      <c r="W554" s="87"/>
      <c r="X554" s="110">
        <f t="shared" si="141"/>
        <v>0</v>
      </c>
    </row>
    <row r="555" spans="1:24" ht="21" customHeight="1" hidden="1">
      <c r="A555" s="108">
        <v>411600</v>
      </c>
      <c r="B555" s="73" t="s">
        <v>315</v>
      </c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192"/>
      <c r="P555" s="192"/>
      <c r="Q555" s="76"/>
      <c r="R555" s="76"/>
      <c r="S555" s="76"/>
      <c r="T555" s="76"/>
      <c r="U555" s="76"/>
      <c r="V555" s="76"/>
      <c r="W555" s="76"/>
      <c r="X555" s="110">
        <f>SUM(C555:W555)</f>
        <v>0</v>
      </c>
    </row>
    <row r="556" spans="1:24" ht="21" customHeight="1">
      <c r="A556" s="108">
        <v>411800</v>
      </c>
      <c r="B556" s="73" t="s">
        <v>265</v>
      </c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192"/>
      <c r="P556" s="192"/>
      <c r="Q556" s="76"/>
      <c r="R556" s="76"/>
      <c r="S556" s="76"/>
      <c r="T556" s="76"/>
      <c r="U556" s="76"/>
      <c r="V556" s="76">
        <v>0</v>
      </c>
      <c r="W556" s="76"/>
      <c r="X556" s="110">
        <f>SUM(C556:W556)</f>
        <v>0</v>
      </c>
    </row>
    <row r="557" spans="1:24" ht="21" customHeight="1">
      <c r="A557" s="490" t="s">
        <v>230</v>
      </c>
      <c r="B557" s="491"/>
      <c r="C557" s="110">
        <f>SUM(C543:C556)</f>
        <v>0</v>
      </c>
      <c r="D557" s="110">
        <f aca="true" t="shared" si="142" ref="D557:O557">SUM(D543:D556)</f>
        <v>0</v>
      </c>
      <c r="E557" s="110">
        <f t="shared" si="142"/>
        <v>0</v>
      </c>
      <c r="F557" s="110">
        <f t="shared" si="142"/>
        <v>0</v>
      </c>
      <c r="G557" s="110">
        <f t="shared" si="142"/>
        <v>0</v>
      </c>
      <c r="H557" s="110">
        <f t="shared" si="142"/>
        <v>0</v>
      </c>
      <c r="I557" s="110">
        <f t="shared" si="142"/>
        <v>0</v>
      </c>
      <c r="J557" s="110">
        <f t="shared" si="142"/>
        <v>0</v>
      </c>
      <c r="K557" s="110">
        <f t="shared" si="142"/>
        <v>0</v>
      </c>
      <c r="L557" s="110">
        <f t="shared" si="142"/>
        <v>0</v>
      </c>
      <c r="M557" s="110">
        <f t="shared" si="142"/>
        <v>0</v>
      </c>
      <c r="N557" s="110">
        <f t="shared" si="142"/>
        <v>0</v>
      </c>
      <c r="O557" s="110">
        <f t="shared" si="142"/>
        <v>0</v>
      </c>
      <c r="P557" s="194">
        <f>SUM(P543:P556)</f>
        <v>0</v>
      </c>
      <c r="Q557" s="110">
        <f>SUM(Q543:Q556)</f>
        <v>0</v>
      </c>
      <c r="R557" s="110">
        <f>SUM(R543:R556)</f>
        <v>0</v>
      </c>
      <c r="S557" s="110"/>
      <c r="T557" s="110">
        <f>SUM(T543:T556)</f>
        <v>0</v>
      </c>
      <c r="U557" s="110">
        <f>SUM(U543:U556)</f>
        <v>0</v>
      </c>
      <c r="V557" s="110">
        <f>SUM(V543:V556)</f>
        <v>0</v>
      </c>
      <c r="W557" s="110">
        <f>SUM(W543:W556)</f>
        <v>0</v>
      </c>
      <c r="X557" s="110">
        <f>SUM(C557:W557)</f>
        <v>0</v>
      </c>
    </row>
    <row r="558" spans="1:24" ht="21" customHeight="1">
      <c r="A558" s="492" t="s">
        <v>231</v>
      </c>
      <c r="B558" s="493"/>
      <c r="C558" s="114">
        <f>+C557+C442</f>
        <v>145920</v>
      </c>
      <c r="D558" s="114">
        <f aca="true" t="shared" si="143" ref="D558:X558">+D557+D442</f>
        <v>0</v>
      </c>
      <c r="E558" s="114">
        <f t="shared" si="143"/>
        <v>0</v>
      </c>
      <c r="F558" s="114">
        <f t="shared" si="143"/>
        <v>0</v>
      </c>
      <c r="G558" s="114">
        <f t="shared" si="143"/>
        <v>0</v>
      </c>
      <c r="H558" s="114">
        <f t="shared" si="143"/>
        <v>0</v>
      </c>
      <c r="I558" s="114">
        <f t="shared" si="143"/>
        <v>0</v>
      </c>
      <c r="J558" s="114">
        <f t="shared" si="143"/>
        <v>0</v>
      </c>
      <c r="K558" s="114">
        <f t="shared" si="143"/>
        <v>0</v>
      </c>
      <c r="L558" s="114">
        <f t="shared" si="143"/>
        <v>13160</v>
      </c>
      <c r="M558" s="114">
        <f t="shared" si="143"/>
        <v>0</v>
      </c>
      <c r="N558" s="114">
        <f t="shared" si="143"/>
        <v>91950</v>
      </c>
      <c r="O558" s="114">
        <f t="shared" si="143"/>
        <v>0</v>
      </c>
      <c r="P558" s="114">
        <f t="shared" si="143"/>
        <v>0</v>
      </c>
      <c r="Q558" s="114">
        <f t="shared" si="143"/>
        <v>0</v>
      </c>
      <c r="R558" s="114">
        <f t="shared" si="143"/>
        <v>0</v>
      </c>
      <c r="S558" s="114">
        <f t="shared" si="143"/>
        <v>0</v>
      </c>
      <c r="T558" s="114">
        <f t="shared" si="143"/>
        <v>0</v>
      </c>
      <c r="U558" s="114">
        <f t="shared" si="143"/>
        <v>0</v>
      </c>
      <c r="V558" s="114">
        <f t="shared" si="143"/>
        <v>0</v>
      </c>
      <c r="W558" s="114">
        <f t="shared" si="143"/>
        <v>0</v>
      </c>
      <c r="X558" s="114">
        <f t="shared" si="143"/>
        <v>251030</v>
      </c>
    </row>
    <row r="559" spans="1:24" ht="21" customHeight="1">
      <c r="A559" s="497" t="s">
        <v>194</v>
      </c>
      <c r="B559" s="497"/>
      <c r="C559" s="496" t="s">
        <v>196</v>
      </c>
      <c r="D559" s="496"/>
      <c r="E559" s="499" t="s">
        <v>199</v>
      </c>
      <c r="F559" s="500"/>
      <c r="G559" s="496" t="s">
        <v>201</v>
      </c>
      <c r="H559" s="497"/>
      <c r="I559" s="499" t="s">
        <v>215</v>
      </c>
      <c r="J559" s="500"/>
      <c r="K559" s="366" t="s">
        <v>216</v>
      </c>
      <c r="L559" s="499" t="s">
        <v>217</v>
      </c>
      <c r="M559" s="501"/>
      <c r="N559" s="500"/>
      <c r="O559" s="499" t="s">
        <v>218</v>
      </c>
      <c r="P559" s="500"/>
      <c r="Q559" s="499" t="s">
        <v>219</v>
      </c>
      <c r="R559" s="501"/>
      <c r="S559" s="500"/>
      <c r="T559" s="496" t="s">
        <v>220</v>
      </c>
      <c r="U559" s="497"/>
      <c r="V559" s="366" t="s">
        <v>284</v>
      </c>
      <c r="W559" s="366" t="s">
        <v>221</v>
      </c>
      <c r="X559" s="498" t="s">
        <v>17</v>
      </c>
    </row>
    <row r="560" spans="1:24" ht="21" customHeight="1">
      <c r="A560" s="497" t="s">
        <v>195</v>
      </c>
      <c r="B560" s="497"/>
      <c r="C560" s="366" t="s">
        <v>197</v>
      </c>
      <c r="D560" s="366" t="s">
        <v>198</v>
      </c>
      <c r="E560" s="366" t="s">
        <v>200</v>
      </c>
      <c r="F560" s="366" t="s">
        <v>288</v>
      </c>
      <c r="G560" s="366" t="s">
        <v>202</v>
      </c>
      <c r="H560" s="366" t="s">
        <v>203</v>
      </c>
      <c r="I560" s="366" t="s">
        <v>204</v>
      </c>
      <c r="J560" s="366" t="s">
        <v>205</v>
      </c>
      <c r="K560" s="366" t="s">
        <v>206</v>
      </c>
      <c r="L560" s="366" t="s">
        <v>207</v>
      </c>
      <c r="M560" s="366" t="s">
        <v>208</v>
      </c>
      <c r="N560" s="366" t="s">
        <v>334</v>
      </c>
      <c r="O560" s="367" t="s">
        <v>471</v>
      </c>
      <c r="P560" s="367" t="s">
        <v>209</v>
      </c>
      <c r="Q560" s="366" t="s">
        <v>210</v>
      </c>
      <c r="R560" s="366" t="s">
        <v>211</v>
      </c>
      <c r="S560" s="366" t="s">
        <v>290</v>
      </c>
      <c r="T560" s="366" t="s">
        <v>212</v>
      </c>
      <c r="U560" s="366" t="s">
        <v>213</v>
      </c>
      <c r="V560" s="366" t="s">
        <v>285</v>
      </c>
      <c r="W560" s="366" t="s">
        <v>214</v>
      </c>
      <c r="X560" s="498"/>
    </row>
    <row r="561" spans="1:24" ht="21" customHeight="1">
      <c r="A561" s="488" t="s">
        <v>277</v>
      </c>
      <c r="B561" s="489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95"/>
      <c r="P561" s="195"/>
      <c r="Q561" s="115"/>
      <c r="R561" s="115"/>
      <c r="S561" s="115"/>
      <c r="T561" s="115"/>
      <c r="U561" s="115"/>
      <c r="V561" s="115"/>
      <c r="W561" s="115"/>
      <c r="X561" s="116">
        <f>SUM(C561:W561)</f>
        <v>0</v>
      </c>
    </row>
    <row r="562" spans="1:24" ht="21" customHeight="1">
      <c r="A562" s="108">
        <v>429000</v>
      </c>
      <c r="B562" s="109" t="s">
        <v>10</v>
      </c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192"/>
      <c r="P562" s="192"/>
      <c r="Q562" s="76"/>
      <c r="R562" s="76"/>
      <c r="S562" s="76"/>
      <c r="T562" s="76"/>
      <c r="U562" s="76"/>
      <c r="V562" s="76"/>
      <c r="W562" s="76"/>
      <c r="X562" s="110">
        <f>SUM(C562:W562)</f>
        <v>0</v>
      </c>
    </row>
    <row r="563" spans="1:24" ht="21" customHeight="1">
      <c r="A563" s="111">
        <v>421000</v>
      </c>
      <c r="B563" s="112" t="s">
        <v>281</v>
      </c>
      <c r="C563" s="87"/>
      <c r="D563" s="87"/>
      <c r="E563" s="87"/>
      <c r="F563" s="87"/>
      <c r="G563" s="87">
        <f>6000+850</f>
        <v>6850</v>
      </c>
      <c r="H563" s="87"/>
      <c r="I563" s="87"/>
      <c r="J563" s="87"/>
      <c r="K563" s="87"/>
      <c r="L563" s="87"/>
      <c r="M563" s="87">
        <v>64000</v>
      </c>
      <c r="N563" s="87"/>
      <c r="O563" s="193"/>
      <c r="P563" s="193"/>
      <c r="Q563" s="87"/>
      <c r="R563" s="87"/>
      <c r="S563" s="87"/>
      <c r="T563" s="87"/>
      <c r="U563" s="87"/>
      <c r="V563" s="87"/>
      <c r="W563" s="87"/>
      <c r="X563" s="113">
        <f>SUM(C563:W563)</f>
        <v>70850</v>
      </c>
    </row>
    <row r="564" spans="1:24" ht="21" customHeight="1">
      <c r="A564" s="490" t="s">
        <v>230</v>
      </c>
      <c r="B564" s="491"/>
      <c r="C564" s="110">
        <f>SUM(C562:C563)</f>
        <v>0</v>
      </c>
      <c r="D564" s="110">
        <f aca="true" t="shared" si="144" ref="D564:V564">SUM(D562:D563)</f>
        <v>0</v>
      </c>
      <c r="E564" s="110">
        <f t="shared" si="144"/>
        <v>0</v>
      </c>
      <c r="F564" s="110">
        <f t="shared" si="144"/>
        <v>0</v>
      </c>
      <c r="G564" s="110">
        <f t="shared" si="144"/>
        <v>6850</v>
      </c>
      <c r="H564" s="110">
        <f t="shared" si="144"/>
        <v>0</v>
      </c>
      <c r="I564" s="110">
        <f t="shared" si="144"/>
        <v>0</v>
      </c>
      <c r="J564" s="110">
        <f t="shared" si="144"/>
        <v>0</v>
      </c>
      <c r="K564" s="110">
        <f t="shared" si="144"/>
        <v>0</v>
      </c>
      <c r="L564" s="110">
        <f t="shared" si="144"/>
        <v>0</v>
      </c>
      <c r="M564" s="110">
        <f t="shared" si="144"/>
        <v>64000</v>
      </c>
      <c r="N564" s="110">
        <f t="shared" si="144"/>
        <v>0</v>
      </c>
      <c r="O564" s="110">
        <f t="shared" si="144"/>
        <v>0</v>
      </c>
      <c r="P564" s="110">
        <f t="shared" si="144"/>
        <v>0</v>
      </c>
      <c r="Q564" s="110">
        <f t="shared" si="144"/>
        <v>0</v>
      </c>
      <c r="R564" s="110">
        <f t="shared" si="144"/>
        <v>0</v>
      </c>
      <c r="S564" s="110">
        <f t="shared" si="144"/>
        <v>0</v>
      </c>
      <c r="T564" s="110">
        <f t="shared" si="144"/>
        <v>0</v>
      </c>
      <c r="U564" s="110">
        <f t="shared" si="144"/>
        <v>0</v>
      </c>
      <c r="V564" s="110">
        <f t="shared" si="144"/>
        <v>0</v>
      </c>
      <c r="W564" s="110">
        <f>SUM(W562:W563)</f>
        <v>0</v>
      </c>
      <c r="X564" s="110">
        <f>SUM(C564:W564)</f>
        <v>70850</v>
      </c>
    </row>
    <row r="565" spans="1:24" ht="21" customHeight="1">
      <c r="A565" s="492" t="s">
        <v>231</v>
      </c>
      <c r="B565" s="493"/>
      <c r="C565" s="114">
        <f>+C564+C449</f>
        <v>0</v>
      </c>
      <c r="D565" s="114">
        <f aca="true" t="shared" si="145" ref="D565:X565">+D564+D449</f>
        <v>0</v>
      </c>
      <c r="E565" s="114">
        <f t="shared" si="145"/>
        <v>0</v>
      </c>
      <c r="F565" s="114">
        <f t="shared" si="145"/>
        <v>0</v>
      </c>
      <c r="G565" s="114">
        <f t="shared" si="145"/>
        <v>6850</v>
      </c>
      <c r="H565" s="114">
        <f t="shared" si="145"/>
        <v>0</v>
      </c>
      <c r="I565" s="114">
        <f t="shared" si="145"/>
        <v>0</v>
      </c>
      <c r="J565" s="114">
        <f t="shared" si="145"/>
        <v>0</v>
      </c>
      <c r="K565" s="114">
        <f t="shared" si="145"/>
        <v>0</v>
      </c>
      <c r="L565" s="114">
        <f t="shared" si="145"/>
        <v>0</v>
      </c>
      <c r="M565" s="114">
        <f t="shared" si="145"/>
        <v>117000</v>
      </c>
      <c r="N565" s="114">
        <f t="shared" si="145"/>
        <v>0</v>
      </c>
      <c r="O565" s="114">
        <f t="shared" si="145"/>
        <v>0</v>
      </c>
      <c r="P565" s="114">
        <f t="shared" si="145"/>
        <v>0</v>
      </c>
      <c r="Q565" s="114">
        <f t="shared" si="145"/>
        <v>0</v>
      </c>
      <c r="R565" s="114">
        <f t="shared" si="145"/>
        <v>0</v>
      </c>
      <c r="S565" s="114">
        <f t="shared" si="145"/>
        <v>0</v>
      </c>
      <c r="T565" s="114">
        <f t="shared" si="145"/>
        <v>0</v>
      </c>
      <c r="U565" s="114">
        <f t="shared" si="145"/>
        <v>0</v>
      </c>
      <c r="V565" s="114">
        <f t="shared" si="145"/>
        <v>0</v>
      </c>
      <c r="W565" s="114">
        <f t="shared" si="145"/>
        <v>0</v>
      </c>
      <c r="X565" s="114">
        <f t="shared" si="145"/>
        <v>123850</v>
      </c>
    </row>
    <row r="566" spans="1:24" ht="21" customHeight="1">
      <c r="A566" s="488" t="s">
        <v>278</v>
      </c>
      <c r="B566" s="489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95"/>
      <c r="P566" s="195"/>
      <c r="Q566" s="115"/>
      <c r="R566" s="115"/>
      <c r="S566" s="115"/>
      <c r="T566" s="115"/>
      <c r="U566" s="115"/>
      <c r="V566" s="115"/>
      <c r="W566" s="115"/>
      <c r="X566" s="116">
        <f aca="true" t="shared" si="146" ref="X566:X571">SUM(C566:W566)</f>
        <v>0</v>
      </c>
    </row>
    <row r="567" spans="1:24" ht="21" customHeight="1">
      <c r="A567" s="108">
        <v>610100</v>
      </c>
      <c r="B567" s="117" t="s">
        <v>280</v>
      </c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192"/>
      <c r="P567" s="192"/>
      <c r="Q567" s="76"/>
      <c r="R567" s="76"/>
      <c r="S567" s="76"/>
      <c r="T567" s="76"/>
      <c r="U567" s="76"/>
      <c r="V567" s="76"/>
      <c r="W567" s="76"/>
      <c r="X567" s="110">
        <f t="shared" si="146"/>
        <v>0</v>
      </c>
    </row>
    <row r="568" spans="1:24" ht="21" customHeight="1">
      <c r="A568" s="108">
        <v>610200</v>
      </c>
      <c r="B568" s="109" t="s">
        <v>266</v>
      </c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192"/>
      <c r="P568" s="192"/>
      <c r="Q568" s="76"/>
      <c r="R568" s="76"/>
      <c r="S568" s="76"/>
      <c r="T568" s="76"/>
      <c r="U568" s="76"/>
      <c r="V568" s="76"/>
      <c r="W568" s="76"/>
      <c r="X568" s="110">
        <f t="shared" si="146"/>
        <v>0</v>
      </c>
    </row>
    <row r="569" spans="1:24" ht="21" customHeight="1" hidden="1">
      <c r="A569" s="111">
        <v>610300</v>
      </c>
      <c r="B569" s="112" t="s">
        <v>390</v>
      </c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193"/>
      <c r="P569" s="193"/>
      <c r="Q569" s="87"/>
      <c r="R569" s="87"/>
      <c r="S569" s="87"/>
      <c r="T569" s="87"/>
      <c r="U569" s="87"/>
      <c r="V569" s="87"/>
      <c r="W569" s="87"/>
      <c r="X569" s="110">
        <f t="shared" si="146"/>
        <v>0</v>
      </c>
    </row>
    <row r="570" spans="1:24" ht="21" customHeight="1" hidden="1">
      <c r="A570" s="111">
        <v>610400</v>
      </c>
      <c r="B570" s="112" t="s">
        <v>279</v>
      </c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193"/>
      <c r="P570" s="193"/>
      <c r="Q570" s="87"/>
      <c r="R570" s="87"/>
      <c r="S570" s="87"/>
      <c r="T570" s="87"/>
      <c r="U570" s="87"/>
      <c r="V570" s="87"/>
      <c r="W570" s="87"/>
      <c r="X570" s="113">
        <f t="shared" si="146"/>
        <v>0</v>
      </c>
    </row>
    <row r="571" spans="1:24" ht="21" customHeight="1">
      <c r="A571" s="490" t="s">
        <v>230</v>
      </c>
      <c r="B571" s="491"/>
      <c r="C571" s="110">
        <f>SUM(C567:C570)</f>
        <v>0</v>
      </c>
      <c r="D571" s="110">
        <f aca="true" t="shared" si="147" ref="D571:S571">SUM(D567:D570)</f>
        <v>0</v>
      </c>
      <c r="E571" s="110">
        <f t="shared" si="147"/>
        <v>0</v>
      </c>
      <c r="F571" s="110">
        <f t="shared" si="147"/>
        <v>0</v>
      </c>
      <c r="G571" s="110">
        <f t="shared" si="147"/>
        <v>0</v>
      </c>
      <c r="H571" s="110">
        <f t="shared" si="147"/>
        <v>0</v>
      </c>
      <c r="I571" s="110">
        <f t="shared" si="147"/>
        <v>0</v>
      </c>
      <c r="J571" s="110">
        <f t="shared" si="147"/>
        <v>0</v>
      </c>
      <c r="K571" s="110">
        <f t="shared" si="147"/>
        <v>0</v>
      </c>
      <c r="L571" s="110">
        <f t="shared" si="147"/>
        <v>0</v>
      </c>
      <c r="M571" s="110">
        <f t="shared" si="147"/>
        <v>0</v>
      </c>
      <c r="N571" s="110">
        <f t="shared" si="147"/>
        <v>0</v>
      </c>
      <c r="O571" s="110">
        <f t="shared" si="147"/>
        <v>0</v>
      </c>
      <c r="P571" s="110">
        <f t="shared" si="147"/>
        <v>0</v>
      </c>
      <c r="Q571" s="110">
        <f t="shared" si="147"/>
        <v>0</v>
      </c>
      <c r="R571" s="110">
        <f t="shared" si="147"/>
        <v>0</v>
      </c>
      <c r="S571" s="110">
        <f t="shared" si="147"/>
        <v>0</v>
      </c>
      <c r="T571" s="110">
        <f>SUM(T567:T570)</f>
        <v>0</v>
      </c>
      <c r="U571" s="110">
        <f>SUM(U567:U570)</f>
        <v>0</v>
      </c>
      <c r="V571" s="110">
        <f>SUM(V567:V570)</f>
        <v>0</v>
      </c>
      <c r="W571" s="110">
        <f>SUM(W567:W570)</f>
        <v>0</v>
      </c>
      <c r="X571" s="110">
        <f t="shared" si="146"/>
        <v>0</v>
      </c>
    </row>
    <row r="572" spans="1:24" ht="21" customHeight="1">
      <c r="A572" s="492" t="s">
        <v>231</v>
      </c>
      <c r="B572" s="493"/>
      <c r="C572" s="114">
        <f>+C571+C456</f>
        <v>20000</v>
      </c>
      <c r="D572" s="114">
        <f aca="true" t="shared" si="148" ref="D572:X572">+D571+D456</f>
        <v>0</v>
      </c>
      <c r="E572" s="114">
        <f t="shared" si="148"/>
        <v>0</v>
      </c>
      <c r="F572" s="114">
        <f t="shared" si="148"/>
        <v>0</v>
      </c>
      <c r="G572" s="114">
        <f t="shared" si="148"/>
        <v>0</v>
      </c>
      <c r="H572" s="114">
        <f t="shared" si="148"/>
        <v>1888000</v>
      </c>
      <c r="I572" s="114">
        <f t="shared" si="148"/>
        <v>0</v>
      </c>
      <c r="J572" s="114">
        <f t="shared" si="148"/>
        <v>0</v>
      </c>
      <c r="K572" s="114">
        <f t="shared" si="148"/>
        <v>0</v>
      </c>
      <c r="L572" s="114">
        <f t="shared" si="148"/>
        <v>0</v>
      </c>
      <c r="M572" s="114">
        <f t="shared" si="148"/>
        <v>0</v>
      </c>
      <c r="N572" s="114">
        <f t="shared" si="148"/>
        <v>0</v>
      </c>
      <c r="O572" s="114">
        <f t="shared" si="148"/>
        <v>0</v>
      </c>
      <c r="P572" s="114">
        <f t="shared" si="148"/>
        <v>10000</v>
      </c>
      <c r="Q572" s="114">
        <f t="shared" si="148"/>
        <v>0</v>
      </c>
      <c r="R572" s="114">
        <f t="shared" si="148"/>
        <v>51000</v>
      </c>
      <c r="S572" s="114">
        <f t="shared" si="148"/>
        <v>0</v>
      </c>
      <c r="T572" s="114">
        <f t="shared" si="148"/>
        <v>0</v>
      </c>
      <c r="U572" s="114">
        <f t="shared" si="148"/>
        <v>0</v>
      </c>
      <c r="V572" s="114">
        <f t="shared" si="148"/>
        <v>0</v>
      </c>
      <c r="W572" s="114">
        <f t="shared" si="148"/>
        <v>0</v>
      </c>
      <c r="X572" s="114">
        <f t="shared" si="148"/>
        <v>1969000</v>
      </c>
    </row>
    <row r="573" spans="1:24" ht="21" customHeight="1">
      <c r="A573" s="488" t="s">
        <v>282</v>
      </c>
      <c r="B573" s="489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95"/>
      <c r="P573" s="195"/>
      <c r="Q573" s="115"/>
      <c r="R573" s="115"/>
      <c r="S573" s="115"/>
      <c r="T573" s="115"/>
      <c r="U573" s="115"/>
      <c r="V573" s="115"/>
      <c r="W573" s="115"/>
      <c r="X573" s="116">
        <f>SUM(C573:W573)</f>
        <v>0</v>
      </c>
    </row>
    <row r="574" spans="1:24" ht="21" customHeight="1">
      <c r="A574" s="108">
        <v>551000</v>
      </c>
      <c r="B574" s="109" t="s">
        <v>12</v>
      </c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192"/>
      <c r="P574" s="192"/>
      <c r="Q574" s="76"/>
      <c r="R574" s="76"/>
      <c r="S574" s="76"/>
      <c r="T574" s="76"/>
      <c r="U574" s="76"/>
      <c r="V574" s="76"/>
      <c r="W574" s="76"/>
      <c r="X574" s="110">
        <f>SUM(C574:W574)</f>
        <v>0</v>
      </c>
    </row>
    <row r="575" spans="1:24" ht="21" customHeight="1">
      <c r="A575" s="111">
        <v>510100</v>
      </c>
      <c r="B575" s="112" t="s">
        <v>283</v>
      </c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193"/>
      <c r="P575" s="193"/>
      <c r="Q575" s="87"/>
      <c r="R575" s="87"/>
      <c r="S575" s="87"/>
      <c r="T575" s="87"/>
      <c r="U575" s="87"/>
      <c r="V575" s="87"/>
      <c r="W575" s="87"/>
      <c r="X575" s="113">
        <f>SUM(C575:W575)</f>
        <v>0</v>
      </c>
    </row>
    <row r="576" spans="1:24" ht="21" customHeight="1">
      <c r="A576" s="490" t="s">
        <v>230</v>
      </c>
      <c r="B576" s="491"/>
      <c r="C576" s="110">
        <f>SUM(C574:C575)</f>
        <v>0</v>
      </c>
      <c r="D576" s="110">
        <f aca="true" t="shared" si="149" ref="D576:X576">SUM(D574:D575)</f>
        <v>0</v>
      </c>
      <c r="E576" s="110">
        <f t="shared" si="149"/>
        <v>0</v>
      </c>
      <c r="F576" s="110">
        <f t="shared" si="149"/>
        <v>0</v>
      </c>
      <c r="G576" s="110">
        <f t="shared" si="149"/>
        <v>0</v>
      </c>
      <c r="H576" s="110">
        <f t="shared" si="149"/>
        <v>0</v>
      </c>
      <c r="I576" s="110">
        <f t="shared" si="149"/>
        <v>0</v>
      </c>
      <c r="J576" s="110">
        <f t="shared" si="149"/>
        <v>0</v>
      </c>
      <c r="K576" s="110">
        <f t="shared" si="149"/>
        <v>0</v>
      </c>
      <c r="L576" s="110">
        <f t="shared" si="149"/>
        <v>0</v>
      </c>
      <c r="M576" s="110">
        <f t="shared" si="149"/>
        <v>0</v>
      </c>
      <c r="N576" s="110">
        <f t="shared" si="149"/>
        <v>0</v>
      </c>
      <c r="O576" s="110">
        <f t="shared" si="149"/>
        <v>0</v>
      </c>
      <c r="P576" s="110">
        <f t="shared" si="149"/>
        <v>0</v>
      </c>
      <c r="Q576" s="110">
        <f t="shared" si="149"/>
        <v>0</v>
      </c>
      <c r="R576" s="110">
        <f t="shared" si="149"/>
        <v>0</v>
      </c>
      <c r="S576" s="110">
        <f t="shared" si="149"/>
        <v>0</v>
      </c>
      <c r="T576" s="110">
        <f t="shared" si="149"/>
        <v>0</v>
      </c>
      <c r="U576" s="110">
        <f t="shared" si="149"/>
        <v>0</v>
      </c>
      <c r="V576" s="110">
        <f t="shared" si="149"/>
        <v>0</v>
      </c>
      <c r="W576" s="110">
        <f t="shared" si="149"/>
        <v>0</v>
      </c>
      <c r="X576" s="110">
        <f t="shared" si="149"/>
        <v>0</v>
      </c>
    </row>
    <row r="577" spans="1:24" ht="21" customHeight="1">
      <c r="A577" s="492" t="s">
        <v>231</v>
      </c>
      <c r="B577" s="493"/>
      <c r="C577" s="114">
        <f>+C576+C461</f>
        <v>0</v>
      </c>
      <c r="D577" s="114">
        <f aca="true" t="shared" si="150" ref="D577:X577">+D576+D461</f>
        <v>0</v>
      </c>
      <c r="E577" s="114">
        <f t="shared" si="150"/>
        <v>0</v>
      </c>
      <c r="F577" s="114">
        <f t="shared" si="150"/>
        <v>0</v>
      </c>
      <c r="G577" s="114">
        <f t="shared" si="150"/>
        <v>0</v>
      </c>
      <c r="H577" s="114">
        <f t="shared" si="150"/>
        <v>0</v>
      </c>
      <c r="I577" s="114">
        <f t="shared" si="150"/>
        <v>0</v>
      </c>
      <c r="J577" s="114">
        <f t="shared" si="150"/>
        <v>0</v>
      </c>
      <c r="K577" s="114">
        <f t="shared" si="150"/>
        <v>0</v>
      </c>
      <c r="L577" s="114">
        <f t="shared" si="150"/>
        <v>0</v>
      </c>
      <c r="M577" s="114">
        <f t="shared" si="150"/>
        <v>0</v>
      </c>
      <c r="N577" s="114">
        <f t="shared" si="150"/>
        <v>0</v>
      </c>
      <c r="O577" s="114">
        <f t="shared" si="150"/>
        <v>0</v>
      </c>
      <c r="P577" s="114">
        <f t="shared" si="150"/>
        <v>0</v>
      </c>
      <c r="Q577" s="114">
        <f t="shared" si="150"/>
        <v>0</v>
      </c>
      <c r="R577" s="114">
        <f t="shared" si="150"/>
        <v>0</v>
      </c>
      <c r="S577" s="114">
        <f t="shared" si="150"/>
        <v>0</v>
      </c>
      <c r="T577" s="114">
        <f t="shared" si="150"/>
        <v>0</v>
      </c>
      <c r="U577" s="114">
        <f t="shared" si="150"/>
        <v>0</v>
      </c>
      <c r="V577" s="114">
        <f t="shared" si="150"/>
        <v>0</v>
      </c>
      <c r="W577" s="114">
        <f t="shared" si="150"/>
        <v>0</v>
      </c>
      <c r="X577" s="114">
        <f t="shared" si="150"/>
        <v>0</v>
      </c>
    </row>
    <row r="578" spans="1:24" ht="21" customHeight="1">
      <c r="A578" s="494" t="s">
        <v>230</v>
      </c>
      <c r="B578" s="495"/>
      <c r="C578" s="49">
        <f aca="true" t="shared" si="151" ref="C578:W578">SUM(C478,C486,C498,C507,C514,C533,C540,C557,C564,C571,C576)</f>
        <v>650685.48</v>
      </c>
      <c r="D578" s="49">
        <f t="shared" si="151"/>
        <v>147103</v>
      </c>
      <c r="E578" s="49">
        <f t="shared" si="151"/>
        <v>29723</v>
      </c>
      <c r="F578" s="49">
        <f t="shared" si="151"/>
        <v>24417.4</v>
      </c>
      <c r="G578" s="49">
        <f t="shared" si="151"/>
        <v>64802</v>
      </c>
      <c r="H578" s="49">
        <f t="shared" si="151"/>
        <v>0</v>
      </c>
      <c r="I578" s="49">
        <f t="shared" si="151"/>
        <v>26760</v>
      </c>
      <c r="J578" s="49">
        <f t="shared" si="151"/>
        <v>22000</v>
      </c>
      <c r="K578" s="49">
        <f t="shared" si="151"/>
        <v>0</v>
      </c>
      <c r="L578" s="49">
        <f t="shared" si="151"/>
        <v>91322</v>
      </c>
      <c r="M578" s="49">
        <f t="shared" si="151"/>
        <v>64000</v>
      </c>
      <c r="N578" s="49">
        <f t="shared" si="151"/>
        <v>65713.75</v>
      </c>
      <c r="O578" s="49">
        <f t="shared" si="151"/>
        <v>37269</v>
      </c>
      <c r="P578" s="49">
        <f t="shared" si="151"/>
        <v>4030</v>
      </c>
      <c r="Q578" s="49">
        <f t="shared" si="151"/>
        <v>26840</v>
      </c>
      <c r="R578" s="49">
        <f t="shared" si="151"/>
        <v>30775</v>
      </c>
      <c r="S578" s="49">
        <f t="shared" si="151"/>
        <v>11000</v>
      </c>
      <c r="T578" s="49">
        <f t="shared" si="151"/>
        <v>0</v>
      </c>
      <c r="U578" s="49">
        <f t="shared" si="151"/>
        <v>0</v>
      </c>
      <c r="V578" s="49">
        <f t="shared" si="151"/>
        <v>64314.94</v>
      </c>
      <c r="W578" s="49">
        <f t="shared" si="151"/>
        <v>20099</v>
      </c>
      <c r="X578" s="49">
        <f>SUM(C578:W578)</f>
        <v>1380854.5699999998</v>
      </c>
    </row>
    <row r="579" spans="1:25" s="370" customFormat="1" ht="21" customHeight="1">
      <c r="A579" s="507" t="s">
        <v>231</v>
      </c>
      <c r="B579" s="508"/>
      <c r="C579" s="368">
        <f>SUM(C479,C487,C499,C508,C515,C534,C541,C558,C565,C572,C577)</f>
        <v>3333552.1199999996</v>
      </c>
      <c r="D579" s="368">
        <f aca="true" t="shared" si="152" ref="D579:W579">SUM(D479,D487,D499,D508,D515,D534,D541,D558,D565,D572,D577)</f>
        <v>716565.03</v>
      </c>
      <c r="E579" s="368">
        <f t="shared" si="152"/>
        <v>112803</v>
      </c>
      <c r="F579" s="368">
        <f t="shared" si="152"/>
        <v>54867.4</v>
      </c>
      <c r="G579" s="368">
        <f t="shared" si="152"/>
        <v>255232</v>
      </c>
      <c r="H579" s="368">
        <f t="shared" si="152"/>
        <v>2378000</v>
      </c>
      <c r="I579" s="368">
        <f t="shared" si="152"/>
        <v>133800</v>
      </c>
      <c r="J579" s="368">
        <f t="shared" si="152"/>
        <v>87130</v>
      </c>
      <c r="K579" s="368">
        <f t="shared" si="152"/>
        <v>0</v>
      </c>
      <c r="L579" s="368">
        <f t="shared" si="152"/>
        <v>441481</v>
      </c>
      <c r="M579" s="368">
        <f t="shared" si="152"/>
        <v>117000</v>
      </c>
      <c r="N579" s="368">
        <f t="shared" si="152"/>
        <v>409311.25</v>
      </c>
      <c r="O579" s="368">
        <f t="shared" si="152"/>
        <v>220719</v>
      </c>
      <c r="P579" s="368">
        <f t="shared" si="152"/>
        <v>83490</v>
      </c>
      <c r="Q579" s="368">
        <f t="shared" si="152"/>
        <v>51710</v>
      </c>
      <c r="R579" s="368">
        <f t="shared" si="152"/>
        <v>201205</v>
      </c>
      <c r="S579" s="368">
        <f t="shared" si="152"/>
        <v>11000</v>
      </c>
      <c r="T579" s="368">
        <f t="shared" si="152"/>
        <v>0</v>
      </c>
      <c r="U579" s="368">
        <f t="shared" si="152"/>
        <v>24200</v>
      </c>
      <c r="V579" s="368">
        <f t="shared" si="152"/>
        <v>338906.42000000004</v>
      </c>
      <c r="W579" s="368">
        <f t="shared" si="152"/>
        <v>218487</v>
      </c>
      <c r="X579" s="368">
        <f>SUM(C579:W579)</f>
        <v>9189459.22</v>
      </c>
      <c r="Y579" s="369">
        <f>+X463</f>
        <v>7808604.65</v>
      </c>
    </row>
    <row r="580" spans="1:24" ht="21" customHeight="1">
      <c r="A580" s="502" t="s">
        <v>364</v>
      </c>
      <c r="B580" s="502"/>
      <c r="C580" s="502"/>
      <c r="D580" s="502"/>
      <c r="E580" s="502"/>
      <c r="F580" s="502"/>
      <c r="G580" s="502"/>
      <c r="H580" s="502"/>
      <c r="I580" s="502"/>
      <c r="J580" s="502"/>
      <c r="K580" s="502"/>
      <c r="L580" s="502"/>
      <c r="M580" s="502"/>
      <c r="N580" s="502"/>
      <c r="O580" s="503" t="str">
        <f>+A580</f>
        <v>เทศบาลตำบลเขาพระ อำเภอพิปูน จังหวัดนครศรีธรรมราช</v>
      </c>
      <c r="P580" s="503"/>
      <c r="Q580" s="503"/>
      <c r="R580" s="503"/>
      <c r="S580" s="503"/>
      <c r="T580" s="503"/>
      <c r="U580" s="503"/>
      <c r="V580" s="503"/>
      <c r="W580" s="503"/>
      <c r="X580" s="503"/>
    </row>
    <row r="581" spans="1:24" ht="21" customHeight="1">
      <c r="A581" s="502" t="s">
        <v>193</v>
      </c>
      <c r="B581" s="502"/>
      <c r="C581" s="502"/>
      <c r="D581" s="502"/>
      <c r="E581" s="502"/>
      <c r="F581" s="502"/>
      <c r="G581" s="502"/>
      <c r="H581" s="502"/>
      <c r="I581" s="502"/>
      <c r="J581" s="502"/>
      <c r="K581" s="502"/>
      <c r="L581" s="502"/>
      <c r="M581" s="502"/>
      <c r="N581" s="502"/>
      <c r="O581" s="504" t="s">
        <v>193</v>
      </c>
      <c r="P581" s="504"/>
      <c r="Q581" s="504"/>
      <c r="R581" s="504"/>
      <c r="S581" s="504"/>
      <c r="T581" s="504"/>
      <c r="U581" s="504"/>
      <c r="V581" s="504"/>
      <c r="W581" s="504"/>
      <c r="X581" s="504"/>
    </row>
    <row r="582" spans="1:24" ht="21" customHeight="1">
      <c r="A582" s="505" t="s">
        <v>562</v>
      </c>
      <c r="B582" s="505"/>
      <c r="C582" s="505"/>
      <c r="D582" s="505"/>
      <c r="E582" s="505"/>
      <c r="F582" s="505"/>
      <c r="G582" s="505"/>
      <c r="H582" s="505"/>
      <c r="I582" s="505"/>
      <c r="J582" s="505"/>
      <c r="K582" s="505"/>
      <c r="L582" s="505"/>
      <c r="M582" s="505"/>
      <c r="N582" s="505"/>
      <c r="O582" s="506" t="s">
        <v>562</v>
      </c>
      <c r="P582" s="506"/>
      <c r="Q582" s="506"/>
      <c r="R582" s="506"/>
      <c r="S582" s="506"/>
      <c r="T582" s="506"/>
      <c r="U582" s="506"/>
      <c r="V582" s="506"/>
      <c r="W582" s="506"/>
      <c r="X582" s="506"/>
    </row>
    <row r="583" spans="1:24" ht="21" customHeight="1">
      <c r="A583" s="497" t="s">
        <v>194</v>
      </c>
      <c r="B583" s="497"/>
      <c r="C583" s="496" t="s">
        <v>196</v>
      </c>
      <c r="D583" s="496"/>
      <c r="E583" s="499" t="s">
        <v>199</v>
      </c>
      <c r="F583" s="500"/>
      <c r="G583" s="496" t="s">
        <v>201</v>
      </c>
      <c r="H583" s="497"/>
      <c r="I583" s="499" t="s">
        <v>215</v>
      </c>
      <c r="J583" s="500"/>
      <c r="K583" s="379" t="s">
        <v>216</v>
      </c>
      <c r="L583" s="499" t="s">
        <v>217</v>
      </c>
      <c r="M583" s="501"/>
      <c r="N583" s="500"/>
      <c r="O583" s="499" t="s">
        <v>218</v>
      </c>
      <c r="P583" s="500"/>
      <c r="Q583" s="499" t="s">
        <v>219</v>
      </c>
      <c r="R583" s="501"/>
      <c r="S583" s="500"/>
      <c r="T583" s="496" t="s">
        <v>220</v>
      </c>
      <c r="U583" s="497"/>
      <c r="V583" s="379" t="s">
        <v>284</v>
      </c>
      <c r="W583" s="379" t="s">
        <v>221</v>
      </c>
      <c r="X583" s="498" t="s">
        <v>17</v>
      </c>
    </row>
    <row r="584" spans="1:24" ht="21" customHeight="1">
      <c r="A584" s="497" t="s">
        <v>195</v>
      </c>
      <c r="B584" s="497"/>
      <c r="C584" s="379" t="s">
        <v>197</v>
      </c>
      <c r="D584" s="379" t="s">
        <v>198</v>
      </c>
      <c r="E584" s="379" t="s">
        <v>200</v>
      </c>
      <c r="F584" s="379" t="s">
        <v>288</v>
      </c>
      <c r="G584" s="379" t="s">
        <v>202</v>
      </c>
      <c r="H584" s="379" t="s">
        <v>203</v>
      </c>
      <c r="I584" s="379" t="s">
        <v>204</v>
      </c>
      <c r="J584" s="379" t="s">
        <v>205</v>
      </c>
      <c r="K584" s="379" t="s">
        <v>206</v>
      </c>
      <c r="L584" s="379" t="s">
        <v>207</v>
      </c>
      <c r="M584" s="379" t="s">
        <v>208</v>
      </c>
      <c r="N584" s="379" t="s">
        <v>334</v>
      </c>
      <c r="O584" s="380" t="s">
        <v>471</v>
      </c>
      <c r="P584" s="380" t="s">
        <v>209</v>
      </c>
      <c r="Q584" s="379" t="s">
        <v>210</v>
      </c>
      <c r="R584" s="379" t="s">
        <v>211</v>
      </c>
      <c r="S584" s="379" t="s">
        <v>290</v>
      </c>
      <c r="T584" s="379" t="s">
        <v>212</v>
      </c>
      <c r="U584" s="379" t="s">
        <v>213</v>
      </c>
      <c r="V584" s="379" t="s">
        <v>285</v>
      </c>
      <c r="W584" s="379" t="s">
        <v>214</v>
      </c>
      <c r="X584" s="498"/>
    </row>
    <row r="585" spans="1:24" ht="21" customHeight="1">
      <c r="A585" s="488" t="s">
        <v>268</v>
      </c>
      <c r="B585" s="489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91"/>
      <c r="P585" s="191"/>
      <c r="Q585" s="107"/>
      <c r="R585" s="107"/>
      <c r="S585" s="107"/>
      <c r="T585" s="107"/>
      <c r="U585" s="107"/>
      <c r="V585" s="107"/>
      <c r="W585" s="107"/>
      <c r="X585" s="107"/>
    </row>
    <row r="586" spans="1:24" ht="21" customHeight="1">
      <c r="A586" s="108">
        <v>110300</v>
      </c>
      <c r="B586" s="109" t="s">
        <v>222</v>
      </c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192"/>
      <c r="P586" s="192"/>
      <c r="Q586" s="76"/>
      <c r="R586" s="76"/>
      <c r="S586" s="76"/>
      <c r="T586" s="76"/>
      <c r="U586" s="76"/>
      <c r="V586" s="76"/>
      <c r="W586" s="76">
        <f>11595+576</f>
        <v>12171</v>
      </c>
      <c r="X586" s="110">
        <f>SUM(C586:W586)</f>
        <v>12171</v>
      </c>
    </row>
    <row r="587" spans="1:24" ht="21" customHeight="1">
      <c r="A587" s="108">
        <v>110700</v>
      </c>
      <c r="B587" s="109" t="s">
        <v>123</v>
      </c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192"/>
      <c r="P587" s="192"/>
      <c r="Q587" s="76"/>
      <c r="R587" s="76"/>
      <c r="S587" s="76"/>
      <c r="T587" s="76"/>
      <c r="U587" s="76"/>
      <c r="V587" s="76"/>
      <c r="W587" s="76"/>
      <c r="X587" s="110">
        <f aca="true" t="shared" si="153" ref="X587:X592">SUM(C587:W587)</f>
        <v>0</v>
      </c>
    </row>
    <row r="588" spans="1:24" ht="21" customHeight="1">
      <c r="A588" s="108">
        <v>110800</v>
      </c>
      <c r="B588" s="109" t="s">
        <v>129</v>
      </c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192"/>
      <c r="P588" s="192"/>
      <c r="Q588" s="76"/>
      <c r="R588" s="76"/>
      <c r="S588" s="76"/>
      <c r="T588" s="76"/>
      <c r="U588" s="76"/>
      <c r="V588" s="76"/>
      <c r="W588" s="76"/>
      <c r="X588" s="110">
        <f t="shared" si="153"/>
        <v>0</v>
      </c>
    </row>
    <row r="589" spans="1:24" ht="21" customHeight="1">
      <c r="A589" s="108">
        <v>110900</v>
      </c>
      <c r="B589" s="109" t="s">
        <v>130</v>
      </c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192"/>
      <c r="P589" s="192"/>
      <c r="Q589" s="76"/>
      <c r="R589" s="76"/>
      <c r="S589" s="76"/>
      <c r="T589" s="76"/>
      <c r="U589" s="76"/>
      <c r="V589" s="76"/>
      <c r="W589" s="76">
        <v>8500</v>
      </c>
      <c r="X589" s="110">
        <f t="shared" si="153"/>
        <v>8500</v>
      </c>
    </row>
    <row r="590" spans="1:24" ht="21" customHeight="1">
      <c r="A590" s="108">
        <v>111000</v>
      </c>
      <c r="B590" s="109" t="s">
        <v>131</v>
      </c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192"/>
      <c r="P590" s="192"/>
      <c r="Q590" s="76"/>
      <c r="R590" s="76"/>
      <c r="S590" s="76"/>
      <c r="T590" s="76"/>
      <c r="U590" s="76"/>
      <c r="V590" s="76"/>
      <c r="W590" s="76">
        <v>0</v>
      </c>
      <c r="X590" s="110">
        <f t="shared" si="153"/>
        <v>0</v>
      </c>
    </row>
    <row r="591" spans="1:24" ht="21" customHeight="1">
      <c r="A591" s="108">
        <v>111100</v>
      </c>
      <c r="B591" s="109" t="s">
        <v>224</v>
      </c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192"/>
      <c r="P591" s="192"/>
      <c r="Q591" s="76"/>
      <c r="R591" s="76"/>
      <c r="S591" s="76"/>
      <c r="T591" s="76"/>
      <c r="U591" s="76"/>
      <c r="V591" s="76"/>
      <c r="W591" s="76"/>
      <c r="X591" s="110">
        <f t="shared" si="153"/>
        <v>0</v>
      </c>
    </row>
    <row r="592" spans="1:24" ht="21" customHeight="1">
      <c r="A592" s="108">
        <v>111100</v>
      </c>
      <c r="B592" s="109" t="s">
        <v>451</v>
      </c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192"/>
      <c r="P592" s="192"/>
      <c r="Q592" s="76"/>
      <c r="R592" s="76"/>
      <c r="S592" s="76"/>
      <c r="T592" s="76"/>
      <c r="U592" s="76"/>
      <c r="V592" s="76"/>
      <c r="W592" s="76"/>
      <c r="X592" s="110">
        <f t="shared" si="153"/>
        <v>0</v>
      </c>
    </row>
    <row r="593" spans="1:24" ht="21" customHeight="1">
      <c r="A593" s="111">
        <v>120100</v>
      </c>
      <c r="B593" s="112" t="s">
        <v>223</v>
      </c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193"/>
      <c r="P593" s="193"/>
      <c r="Q593" s="87"/>
      <c r="R593" s="87"/>
      <c r="S593" s="87"/>
      <c r="T593" s="87"/>
      <c r="U593" s="87"/>
      <c r="V593" s="87"/>
      <c r="W593" s="87"/>
      <c r="X593" s="113">
        <f>SUM(C593:W593)</f>
        <v>0</v>
      </c>
    </row>
    <row r="594" spans="1:24" ht="21" customHeight="1">
      <c r="A594" s="490" t="s">
        <v>230</v>
      </c>
      <c r="B594" s="491"/>
      <c r="C594" s="110">
        <f>SUM(C586:C593)</f>
        <v>0</v>
      </c>
      <c r="D594" s="110">
        <f aca="true" t="shared" si="154" ref="D594:L594">SUM(D586:D593)</f>
        <v>0</v>
      </c>
      <c r="E594" s="110">
        <f t="shared" si="154"/>
        <v>0</v>
      </c>
      <c r="F594" s="110">
        <f t="shared" si="154"/>
        <v>0</v>
      </c>
      <c r="G594" s="110">
        <f t="shared" si="154"/>
        <v>0</v>
      </c>
      <c r="H594" s="110">
        <f t="shared" si="154"/>
        <v>0</v>
      </c>
      <c r="I594" s="110">
        <f t="shared" si="154"/>
        <v>0</v>
      </c>
      <c r="J594" s="110">
        <f t="shared" si="154"/>
        <v>0</v>
      </c>
      <c r="K594" s="110">
        <f t="shared" si="154"/>
        <v>0</v>
      </c>
      <c r="L594" s="110">
        <f t="shared" si="154"/>
        <v>0</v>
      </c>
      <c r="M594" s="110">
        <f>SUM(M586:M593)</f>
        <v>0</v>
      </c>
      <c r="N594" s="110">
        <f>SUM(N586:N593)</f>
        <v>0</v>
      </c>
      <c r="O594" s="110">
        <f>SUM(O586:O593)</f>
        <v>0</v>
      </c>
      <c r="P594" s="110">
        <f>SUM(P586:P593)</f>
        <v>0</v>
      </c>
      <c r="Q594" s="110">
        <f>SUM(Q586:Q593)</f>
        <v>0</v>
      </c>
      <c r="R594" s="110">
        <f>SUM(R586:R593)</f>
        <v>0</v>
      </c>
      <c r="S594" s="110"/>
      <c r="T594" s="110">
        <f>SUM(T586:T593)</f>
        <v>0</v>
      </c>
      <c r="U594" s="110">
        <f>SUM(U586:U593)</f>
        <v>0</v>
      </c>
      <c r="V594" s="110">
        <f>SUM(V586:V593)</f>
        <v>0</v>
      </c>
      <c r="W594" s="110">
        <f>SUM(W586:W593)</f>
        <v>20671</v>
      </c>
      <c r="X594" s="110">
        <f>SUM(C594:W594)</f>
        <v>20671</v>
      </c>
    </row>
    <row r="595" spans="1:24" ht="21" customHeight="1">
      <c r="A595" s="492" t="s">
        <v>231</v>
      </c>
      <c r="B595" s="493"/>
      <c r="C595" s="114">
        <f>+C594+C479</f>
        <v>0</v>
      </c>
      <c r="D595" s="114">
        <f aca="true" t="shared" si="155" ref="D595:X595">+D594+D479</f>
        <v>0</v>
      </c>
      <c r="E595" s="114">
        <f t="shared" si="155"/>
        <v>0</v>
      </c>
      <c r="F595" s="114">
        <f t="shared" si="155"/>
        <v>0</v>
      </c>
      <c r="G595" s="114">
        <f t="shared" si="155"/>
        <v>0</v>
      </c>
      <c r="H595" s="114">
        <f t="shared" si="155"/>
        <v>0</v>
      </c>
      <c r="I595" s="114">
        <f t="shared" si="155"/>
        <v>0</v>
      </c>
      <c r="J595" s="114">
        <f t="shared" si="155"/>
        <v>0</v>
      </c>
      <c r="K595" s="114">
        <f t="shared" si="155"/>
        <v>0</v>
      </c>
      <c r="L595" s="114">
        <f t="shared" si="155"/>
        <v>0</v>
      </c>
      <c r="M595" s="114">
        <f t="shared" si="155"/>
        <v>0</v>
      </c>
      <c r="N595" s="114">
        <f t="shared" si="155"/>
        <v>0</v>
      </c>
      <c r="O595" s="114">
        <f t="shared" si="155"/>
        <v>0</v>
      </c>
      <c r="P595" s="114">
        <f t="shared" si="155"/>
        <v>0</v>
      </c>
      <c r="Q595" s="114">
        <f t="shared" si="155"/>
        <v>0</v>
      </c>
      <c r="R595" s="114">
        <f t="shared" si="155"/>
        <v>0</v>
      </c>
      <c r="S595" s="114">
        <f t="shared" si="155"/>
        <v>0</v>
      </c>
      <c r="T595" s="114">
        <f t="shared" si="155"/>
        <v>0</v>
      </c>
      <c r="U595" s="114">
        <f t="shared" si="155"/>
        <v>0</v>
      </c>
      <c r="V595" s="114">
        <f t="shared" si="155"/>
        <v>0</v>
      </c>
      <c r="W595" s="114">
        <f t="shared" si="155"/>
        <v>239158</v>
      </c>
      <c r="X595" s="114">
        <f t="shared" si="155"/>
        <v>239158</v>
      </c>
    </row>
    <row r="596" spans="1:24" ht="21" customHeight="1">
      <c r="A596" s="488" t="s">
        <v>269</v>
      </c>
      <c r="B596" s="489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95"/>
      <c r="P596" s="195"/>
      <c r="Q596" s="115"/>
      <c r="R596" s="115"/>
      <c r="S596" s="115"/>
      <c r="T596" s="115"/>
      <c r="U596" s="115"/>
      <c r="V596" s="115"/>
      <c r="W596" s="115"/>
      <c r="X596" s="116">
        <f aca="true" t="shared" si="156" ref="X596:X601">SUM(C596:W596)</f>
        <v>0</v>
      </c>
    </row>
    <row r="597" spans="1:24" ht="21" customHeight="1">
      <c r="A597" s="108">
        <v>210100</v>
      </c>
      <c r="B597" s="73" t="s">
        <v>225</v>
      </c>
      <c r="C597" s="76">
        <v>57960</v>
      </c>
      <c r="D597" s="76">
        <v>0</v>
      </c>
      <c r="E597" s="76"/>
      <c r="F597" s="76"/>
      <c r="G597" s="76"/>
      <c r="H597" s="76"/>
      <c r="I597" s="76"/>
      <c r="J597" s="76"/>
      <c r="K597" s="76"/>
      <c r="L597" s="76">
        <v>0</v>
      </c>
      <c r="M597" s="76"/>
      <c r="N597" s="76"/>
      <c r="O597" s="192"/>
      <c r="P597" s="192"/>
      <c r="Q597" s="76"/>
      <c r="R597" s="76"/>
      <c r="S597" s="76"/>
      <c r="T597" s="76"/>
      <c r="U597" s="76"/>
      <c r="V597" s="76"/>
      <c r="W597" s="76"/>
      <c r="X597" s="110">
        <f t="shared" si="156"/>
        <v>57960</v>
      </c>
    </row>
    <row r="598" spans="1:24" ht="21" customHeight="1">
      <c r="A598" s="108">
        <v>210200</v>
      </c>
      <c r="B598" s="73" t="s">
        <v>229</v>
      </c>
      <c r="C598" s="76">
        <v>10000</v>
      </c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192"/>
      <c r="P598" s="192"/>
      <c r="Q598" s="76"/>
      <c r="R598" s="76"/>
      <c r="S598" s="76"/>
      <c r="T598" s="76"/>
      <c r="U598" s="76"/>
      <c r="V598" s="76"/>
      <c r="W598" s="76"/>
      <c r="X598" s="110">
        <f t="shared" si="156"/>
        <v>10000</v>
      </c>
    </row>
    <row r="599" spans="1:24" ht="21" customHeight="1">
      <c r="A599" s="108">
        <v>210300</v>
      </c>
      <c r="B599" s="73" t="s">
        <v>226</v>
      </c>
      <c r="C599" s="76">
        <v>10000</v>
      </c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192"/>
      <c r="P599" s="192"/>
      <c r="Q599" s="76"/>
      <c r="R599" s="76"/>
      <c r="S599" s="76"/>
      <c r="T599" s="76"/>
      <c r="U599" s="76"/>
      <c r="V599" s="76"/>
      <c r="W599" s="76"/>
      <c r="X599" s="110">
        <f t="shared" si="156"/>
        <v>10000</v>
      </c>
    </row>
    <row r="600" spans="1:24" ht="21" customHeight="1">
      <c r="A600" s="108">
        <v>210400</v>
      </c>
      <c r="B600" s="73" t="s">
        <v>227</v>
      </c>
      <c r="C600" s="76">
        <v>16560</v>
      </c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192"/>
      <c r="P600" s="192"/>
      <c r="Q600" s="76"/>
      <c r="R600" s="76"/>
      <c r="S600" s="76"/>
      <c r="T600" s="76"/>
      <c r="U600" s="76"/>
      <c r="V600" s="76"/>
      <c r="W600" s="76"/>
      <c r="X600" s="110">
        <f t="shared" si="156"/>
        <v>16560</v>
      </c>
    </row>
    <row r="601" spans="1:24" ht="21" customHeight="1">
      <c r="A601" s="111">
        <v>210600</v>
      </c>
      <c r="B601" s="74" t="s">
        <v>228</v>
      </c>
      <c r="C601" s="76">
        <v>124200</v>
      </c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193"/>
      <c r="P601" s="193"/>
      <c r="Q601" s="87"/>
      <c r="R601" s="87"/>
      <c r="S601" s="87"/>
      <c r="T601" s="87"/>
      <c r="U601" s="87"/>
      <c r="V601" s="87"/>
      <c r="W601" s="87"/>
      <c r="X601" s="113">
        <f t="shared" si="156"/>
        <v>124200</v>
      </c>
    </row>
    <row r="602" spans="1:24" ht="21" customHeight="1">
      <c r="A602" s="490" t="s">
        <v>230</v>
      </c>
      <c r="B602" s="491"/>
      <c r="C602" s="110">
        <f>SUM(C597:C601)</f>
        <v>218720</v>
      </c>
      <c r="D602" s="110">
        <f>SUM(D596:D601)</f>
        <v>0</v>
      </c>
      <c r="E602" s="110">
        <f>SUM(E596:E601)</f>
        <v>0</v>
      </c>
      <c r="F602" s="110">
        <f aca="true" t="shared" si="157" ref="F602:L602">SUM(F596:F601)</f>
        <v>0</v>
      </c>
      <c r="G602" s="110">
        <f t="shared" si="157"/>
        <v>0</v>
      </c>
      <c r="H602" s="110">
        <f t="shared" si="157"/>
        <v>0</v>
      </c>
      <c r="I602" s="110">
        <f t="shared" si="157"/>
        <v>0</v>
      </c>
      <c r="J602" s="110">
        <f t="shared" si="157"/>
        <v>0</v>
      </c>
      <c r="K602" s="110">
        <f t="shared" si="157"/>
        <v>0</v>
      </c>
      <c r="L602" s="110">
        <f t="shared" si="157"/>
        <v>0</v>
      </c>
      <c r="M602" s="110">
        <f>SUM(M596:M601)</f>
        <v>0</v>
      </c>
      <c r="N602" s="110">
        <f>SUM(N596:N601)</f>
        <v>0</v>
      </c>
      <c r="O602" s="110">
        <f>SUM(O596:O601)</f>
        <v>0</v>
      </c>
      <c r="P602" s="110">
        <f>SUM(P596:P601)</f>
        <v>0</v>
      </c>
      <c r="Q602" s="110">
        <f>SUM(Q596:Q601)</f>
        <v>0</v>
      </c>
      <c r="R602" s="110">
        <f>SUM(R596:R601)</f>
        <v>0</v>
      </c>
      <c r="S602" s="110"/>
      <c r="T602" s="110">
        <f>SUM(T596:T601)</f>
        <v>0</v>
      </c>
      <c r="U602" s="110">
        <f>SUM(U596:U601)</f>
        <v>0</v>
      </c>
      <c r="V602" s="110">
        <f>SUM(V596:V601)</f>
        <v>0</v>
      </c>
      <c r="W602" s="110">
        <f>SUM(W596:W601)</f>
        <v>0</v>
      </c>
      <c r="X602" s="110">
        <f>SUM(C602:W602)</f>
        <v>218720</v>
      </c>
    </row>
    <row r="603" spans="1:24" ht="21" customHeight="1">
      <c r="A603" s="492" t="s">
        <v>231</v>
      </c>
      <c r="B603" s="493"/>
      <c r="C603" s="110">
        <f>+C602+C487</f>
        <v>1307334</v>
      </c>
      <c r="D603" s="110">
        <f aca="true" t="shared" si="158" ref="D603:X603">+D602+D487</f>
        <v>0</v>
      </c>
      <c r="E603" s="110">
        <f t="shared" si="158"/>
        <v>0</v>
      </c>
      <c r="F603" s="110">
        <f t="shared" si="158"/>
        <v>0</v>
      </c>
      <c r="G603" s="110">
        <f t="shared" si="158"/>
        <v>0</v>
      </c>
      <c r="H603" s="110">
        <f t="shared" si="158"/>
        <v>0</v>
      </c>
      <c r="I603" s="110">
        <f t="shared" si="158"/>
        <v>0</v>
      </c>
      <c r="J603" s="110">
        <f t="shared" si="158"/>
        <v>0</v>
      </c>
      <c r="K603" s="110">
        <f t="shared" si="158"/>
        <v>0</v>
      </c>
      <c r="L603" s="110">
        <f t="shared" si="158"/>
        <v>0</v>
      </c>
      <c r="M603" s="110">
        <f t="shared" si="158"/>
        <v>0</v>
      </c>
      <c r="N603" s="110">
        <f t="shared" si="158"/>
        <v>0</v>
      </c>
      <c r="O603" s="110">
        <f t="shared" si="158"/>
        <v>0</v>
      </c>
      <c r="P603" s="110">
        <f t="shared" si="158"/>
        <v>0</v>
      </c>
      <c r="Q603" s="110">
        <f t="shared" si="158"/>
        <v>0</v>
      </c>
      <c r="R603" s="110">
        <f t="shared" si="158"/>
        <v>0</v>
      </c>
      <c r="S603" s="110">
        <f t="shared" si="158"/>
        <v>0</v>
      </c>
      <c r="T603" s="110">
        <f t="shared" si="158"/>
        <v>0</v>
      </c>
      <c r="U603" s="110">
        <f t="shared" si="158"/>
        <v>0</v>
      </c>
      <c r="V603" s="110">
        <f t="shared" si="158"/>
        <v>0</v>
      </c>
      <c r="W603" s="110">
        <f t="shared" si="158"/>
        <v>0</v>
      </c>
      <c r="X603" s="110">
        <f t="shared" si="158"/>
        <v>1307334</v>
      </c>
    </row>
    <row r="604" spans="1:24" ht="21" customHeight="1">
      <c r="A604" s="488" t="s">
        <v>270</v>
      </c>
      <c r="B604" s="489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95"/>
      <c r="P604" s="195"/>
      <c r="Q604" s="115"/>
      <c r="R604" s="115"/>
      <c r="S604" s="115"/>
      <c r="T604" s="115"/>
      <c r="U604" s="115"/>
      <c r="V604" s="115"/>
      <c r="W604" s="115"/>
      <c r="X604" s="116">
        <f>SUM(C604:W604)</f>
        <v>0</v>
      </c>
    </row>
    <row r="605" spans="1:24" ht="21" customHeight="1">
      <c r="A605" s="108">
        <v>220100</v>
      </c>
      <c r="B605" s="73" t="s">
        <v>232</v>
      </c>
      <c r="C605" s="76">
        <v>195820</v>
      </c>
      <c r="D605" s="76">
        <v>78950</v>
      </c>
      <c r="E605" s="76">
        <v>20770</v>
      </c>
      <c r="F605" s="76">
        <v>0</v>
      </c>
      <c r="G605" s="76"/>
      <c r="H605" s="76"/>
      <c r="I605" s="76"/>
      <c r="J605" s="76"/>
      <c r="K605" s="76"/>
      <c r="L605" s="76">
        <v>32530</v>
      </c>
      <c r="M605" s="76"/>
      <c r="N605" s="371"/>
      <c r="O605" s="192">
        <v>16960</v>
      </c>
      <c r="P605" s="192"/>
      <c r="Q605" s="76"/>
      <c r="R605" s="76"/>
      <c r="S605" s="76"/>
      <c r="T605" s="76"/>
      <c r="U605" s="76"/>
      <c r="V605" s="76"/>
      <c r="W605" s="76"/>
      <c r="X605" s="110">
        <f>SUM(C605:W605)</f>
        <v>345030</v>
      </c>
    </row>
    <row r="606" spans="1:24" ht="21" customHeight="1">
      <c r="A606" s="108">
        <v>220200</v>
      </c>
      <c r="B606" s="73" t="s">
        <v>233</v>
      </c>
      <c r="C606" s="76">
        <v>5600</v>
      </c>
      <c r="D606" s="76">
        <v>655</v>
      </c>
      <c r="E606" s="76"/>
      <c r="F606" s="76"/>
      <c r="G606" s="76"/>
      <c r="H606" s="76"/>
      <c r="I606" s="76"/>
      <c r="J606" s="76"/>
      <c r="K606" s="76"/>
      <c r="L606" s="76">
        <v>0</v>
      </c>
      <c r="M606" s="76"/>
      <c r="N606" s="372"/>
      <c r="O606" s="192"/>
      <c r="P606" s="192"/>
      <c r="Q606" s="76"/>
      <c r="R606" s="76"/>
      <c r="S606" s="76"/>
      <c r="T606" s="76"/>
      <c r="U606" s="76"/>
      <c r="V606" s="76"/>
      <c r="W606" s="76"/>
      <c r="X606" s="110">
        <f>SUM(C606:W606)</f>
        <v>6255</v>
      </c>
    </row>
    <row r="607" spans="1:24" ht="21" customHeight="1">
      <c r="A607" s="108">
        <v>220300</v>
      </c>
      <c r="B607" s="73" t="s">
        <v>234</v>
      </c>
      <c r="C607" s="76">
        <v>9100</v>
      </c>
      <c r="D607" s="76">
        <v>0</v>
      </c>
      <c r="E607" s="76"/>
      <c r="F607" s="76"/>
      <c r="G607" s="76"/>
      <c r="H607" s="76"/>
      <c r="I607" s="76"/>
      <c r="J607" s="76"/>
      <c r="K607" s="76"/>
      <c r="L607" s="76">
        <v>0</v>
      </c>
      <c r="M607" s="76"/>
      <c r="N607" s="372"/>
      <c r="O607" s="192"/>
      <c r="P607" s="192"/>
      <c r="Q607" s="76"/>
      <c r="R607" s="76"/>
      <c r="S607" s="76"/>
      <c r="T607" s="76"/>
      <c r="U607" s="76"/>
      <c r="V607" s="76"/>
      <c r="W607" s="76"/>
      <c r="X607" s="110">
        <f>SUM(C607:W607)</f>
        <v>9100</v>
      </c>
    </row>
    <row r="608" spans="1:24" ht="21" customHeight="1">
      <c r="A608" s="108">
        <v>220400</v>
      </c>
      <c r="B608" s="73" t="s">
        <v>3</v>
      </c>
      <c r="C608" s="76"/>
      <c r="D608" s="76">
        <v>30960</v>
      </c>
      <c r="E608" s="76"/>
      <c r="F608" s="76"/>
      <c r="G608" s="76"/>
      <c r="H608" s="76"/>
      <c r="I608" s="76"/>
      <c r="J608" s="76"/>
      <c r="K608" s="76"/>
      <c r="L608" s="76">
        <v>0</v>
      </c>
      <c r="M608" s="76"/>
      <c r="N608" s="372"/>
      <c r="O608" s="192"/>
      <c r="P608" s="192"/>
      <c r="Q608" s="76"/>
      <c r="R608" s="76"/>
      <c r="S608" s="76"/>
      <c r="T608" s="76"/>
      <c r="U608" s="76"/>
      <c r="V608" s="76"/>
      <c r="W608" s="76"/>
      <c r="X608" s="110">
        <f>SUM(C608:W608)</f>
        <v>30960</v>
      </c>
    </row>
    <row r="609" spans="1:24" ht="21" customHeight="1">
      <c r="A609" s="108">
        <v>220500</v>
      </c>
      <c r="B609" s="73" t="s">
        <v>235</v>
      </c>
      <c r="C609" s="76"/>
      <c r="D609" s="76">
        <v>0</v>
      </c>
      <c r="E609" s="76"/>
      <c r="F609" s="76"/>
      <c r="G609" s="76"/>
      <c r="H609" s="76"/>
      <c r="I609" s="76"/>
      <c r="J609" s="76"/>
      <c r="K609" s="76"/>
      <c r="L609" s="76">
        <v>0</v>
      </c>
      <c r="M609" s="76"/>
      <c r="N609" s="373"/>
      <c r="O609" s="192"/>
      <c r="P609" s="192"/>
      <c r="Q609" s="76"/>
      <c r="R609" s="76"/>
      <c r="S609" s="76"/>
      <c r="T609" s="76"/>
      <c r="U609" s="76"/>
      <c r="V609" s="76"/>
      <c r="W609" s="76"/>
      <c r="X609" s="110">
        <f>SUM(C609:W609)</f>
        <v>0</v>
      </c>
    </row>
    <row r="610" spans="1:24" ht="21" customHeight="1">
      <c r="A610" s="497" t="s">
        <v>194</v>
      </c>
      <c r="B610" s="497"/>
      <c r="C610" s="496" t="s">
        <v>196</v>
      </c>
      <c r="D610" s="496"/>
      <c r="E610" s="499" t="s">
        <v>199</v>
      </c>
      <c r="F610" s="500"/>
      <c r="G610" s="496" t="s">
        <v>201</v>
      </c>
      <c r="H610" s="497"/>
      <c r="I610" s="499" t="s">
        <v>215</v>
      </c>
      <c r="J610" s="500"/>
      <c r="K610" s="379" t="s">
        <v>216</v>
      </c>
      <c r="L610" s="499" t="s">
        <v>217</v>
      </c>
      <c r="M610" s="501"/>
      <c r="N610" s="500"/>
      <c r="O610" s="499" t="s">
        <v>218</v>
      </c>
      <c r="P610" s="500"/>
      <c r="Q610" s="499" t="s">
        <v>219</v>
      </c>
      <c r="R610" s="501"/>
      <c r="S610" s="500"/>
      <c r="T610" s="496" t="s">
        <v>220</v>
      </c>
      <c r="U610" s="497"/>
      <c r="V610" s="379" t="s">
        <v>284</v>
      </c>
      <c r="W610" s="379" t="s">
        <v>221</v>
      </c>
      <c r="X610" s="498" t="s">
        <v>17</v>
      </c>
    </row>
    <row r="611" spans="1:24" ht="21" customHeight="1">
      <c r="A611" s="497" t="s">
        <v>195</v>
      </c>
      <c r="B611" s="497"/>
      <c r="C611" s="379" t="s">
        <v>197</v>
      </c>
      <c r="D611" s="379" t="s">
        <v>198</v>
      </c>
      <c r="E611" s="379" t="s">
        <v>200</v>
      </c>
      <c r="F611" s="379" t="s">
        <v>288</v>
      </c>
      <c r="G611" s="379" t="s">
        <v>202</v>
      </c>
      <c r="H611" s="379" t="s">
        <v>203</v>
      </c>
      <c r="I611" s="379" t="s">
        <v>204</v>
      </c>
      <c r="J611" s="379" t="s">
        <v>205</v>
      </c>
      <c r="K611" s="379" t="s">
        <v>206</v>
      </c>
      <c r="L611" s="379" t="s">
        <v>207</v>
      </c>
      <c r="M611" s="379" t="s">
        <v>208</v>
      </c>
      <c r="N611" s="379" t="s">
        <v>334</v>
      </c>
      <c r="O611" s="380" t="s">
        <v>471</v>
      </c>
      <c r="P611" s="380" t="s">
        <v>209</v>
      </c>
      <c r="Q611" s="379" t="s">
        <v>210</v>
      </c>
      <c r="R611" s="379" t="s">
        <v>211</v>
      </c>
      <c r="S611" s="379" t="s">
        <v>290</v>
      </c>
      <c r="T611" s="379" t="s">
        <v>212</v>
      </c>
      <c r="U611" s="379" t="s">
        <v>213</v>
      </c>
      <c r="V611" s="379" t="s">
        <v>285</v>
      </c>
      <c r="W611" s="379" t="s">
        <v>214</v>
      </c>
      <c r="X611" s="498"/>
    </row>
    <row r="612" spans="1:24" ht="21" customHeight="1">
      <c r="A612" s="108">
        <v>220600</v>
      </c>
      <c r="B612" s="73" t="s">
        <v>236</v>
      </c>
      <c r="C612" s="76">
        <v>81460</v>
      </c>
      <c r="D612" s="76">
        <v>24400</v>
      </c>
      <c r="E612" s="76">
        <v>9400</v>
      </c>
      <c r="F612" s="76"/>
      <c r="G612" s="76">
        <v>27740</v>
      </c>
      <c r="H612" s="84"/>
      <c r="I612" s="76">
        <v>25260</v>
      </c>
      <c r="J612" s="76"/>
      <c r="K612" s="76"/>
      <c r="L612" s="76">
        <v>46880</v>
      </c>
      <c r="M612" s="76"/>
      <c r="N612" s="76"/>
      <c r="O612" s="192">
        <v>15960</v>
      </c>
      <c r="P612" s="192"/>
      <c r="Q612" s="76"/>
      <c r="R612" s="76"/>
      <c r="S612" s="76"/>
      <c r="T612" s="76"/>
      <c r="U612" s="76"/>
      <c r="V612" s="76"/>
      <c r="W612" s="76"/>
      <c r="X612" s="110">
        <f>SUM(C612:W612)</f>
        <v>231100</v>
      </c>
    </row>
    <row r="613" spans="1:24" ht="21" customHeight="1">
      <c r="A613" s="111">
        <v>220700</v>
      </c>
      <c r="B613" s="74" t="s">
        <v>237</v>
      </c>
      <c r="C613" s="76">
        <v>6000</v>
      </c>
      <c r="D613" s="87">
        <v>1500</v>
      </c>
      <c r="E613" s="87">
        <v>1500</v>
      </c>
      <c r="F613" s="87"/>
      <c r="G613" s="145"/>
      <c r="H613" s="145"/>
      <c r="I613" s="87">
        <v>1500</v>
      </c>
      <c r="J613" s="87"/>
      <c r="K613" s="87"/>
      <c r="L613" s="76">
        <v>4500</v>
      </c>
      <c r="M613" s="87"/>
      <c r="N613" s="87"/>
      <c r="O613" s="193"/>
      <c r="P613" s="193"/>
      <c r="Q613" s="87"/>
      <c r="R613" s="87"/>
      <c r="S613" s="87"/>
      <c r="T613" s="87"/>
      <c r="U613" s="87"/>
      <c r="V613" s="87"/>
      <c r="W613" s="87"/>
      <c r="X613" s="110">
        <f>SUM(C613:W613)</f>
        <v>15000</v>
      </c>
    </row>
    <row r="614" spans="1:25" ht="21" customHeight="1">
      <c r="A614" s="490" t="s">
        <v>230</v>
      </c>
      <c r="B614" s="491"/>
      <c r="C614" s="110">
        <f>SUM(C604:C613)</f>
        <v>297980</v>
      </c>
      <c r="D614" s="110">
        <f aca="true" t="shared" si="159" ref="D614:X614">SUM(D604:D613)</f>
        <v>136465</v>
      </c>
      <c r="E614" s="110">
        <f t="shared" si="159"/>
        <v>31670</v>
      </c>
      <c r="F614" s="110">
        <f t="shared" si="159"/>
        <v>0</v>
      </c>
      <c r="G614" s="110">
        <f t="shared" si="159"/>
        <v>27740</v>
      </c>
      <c r="H614" s="110">
        <f t="shared" si="159"/>
        <v>0</v>
      </c>
      <c r="I614" s="110">
        <f t="shared" si="159"/>
        <v>26760</v>
      </c>
      <c r="J614" s="110">
        <f t="shared" si="159"/>
        <v>0</v>
      </c>
      <c r="K614" s="110">
        <f t="shared" si="159"/>
        <v>0</v>
      </c>
      <c r="L614" s="110">
        <f t="shared" si="159"/>
        <v>83910</v>
      </c>
      <c r="M614" s="110">
        <f t="shared" si="159"/>
        <v>0</v>
      </c>
      <c r="N614" s="110">
        <f t="shared" si="159"/>
        <v>0</v>
      </c>
      <c r="O614" s="110">
        <f t="shared" si="159"/>
        <v>32920</v>
      </c>
      <c r="P614" s="110">
        <f t="shared" si="159"/>
        <v>0</v>
      </c>
      <c r="Q614" s="110">
        <f t="shared" si="159"/>
        <v>0</v>
      </c>
      <c r="R614" s="110">
        <f t="shared" si="159"/>
        <v>0</v>
      </c>
      <c r="S614" s="110">
        <f t="shared" si="159"/>
        <v>0</v>
      </c>
      <c r="T614" s="110">
        <f t="shared" si="159"/>
        <v>0</v>
      </c>
      <c r="U614" s="110">
        <f t="shared" si="159"/>
        <v>0</v>
      </c>
      <c r="V614" s="110">
        <f t="shared" si="159"/>
        <v>0</v>
      </c>
      <c r="W614" s="110">
        <f t="shared" si="159"/>
        <v>0</v>
      </c>
      <c r="X614" s="110">
        <f t="shared" si="159"/>
        <v>637445</v>
      </c>
      <c r="Y614" s="106">
        <f>360385+30960+246100</f>
        <v>637445</v>
      </c>
    </row>
    <row r="615" spans="1:24" ht="21" customHeight="1">
      <c r="A615" s="492" t="s">
        <v>231</v>
      </c>
      <c r="B615" s="493"/>
      <c r="C615" s="114">
        <f>+C614+C499</f>
        <v>1664920</v>
      </c>
      <c r="D615" s="114">
        <f aca="true" t="shared" si="160" ref="D615:X615">+D614+D499</f>
        <v>738646.23</v>
      </c>
      <c r="E615" s="114">
        <f t="shared" si="160"/>
        <v>144473</v>
      </c>
      <c r="F615" s="114">
        <f t="shared" si="160"/>
        <v>0</v>
      </c>
      <c r="G615" s="114">
        <f t="shared" si="160"/>
        <v>152310</v>
      </c>
      <c r="H615" s="114">
        <f t="shared" si="160"/>
        <v>0</v>
      </c>
      <c r="I615" s="114">
        <f t="shared" si="160"/>
        <v>160560</v>
      </c>
      <c r="J615" s="114">
        <f t="shared" si="160"/>
        <v>0</v>
      </c>
      <c r="K615" s="114">
        <f t="shared" si="160"/>
        <v>0</v>
      </c>
      <c r="L615" s="114">
        <f t="shared" si="160"/>
        <v>463254</v>
      </c>
      <c r="M615" s="114">
        <f t="shared" si="160"/>
        <v>0</v>
      </c>
      <c r="N615" s="114">
        <f t="shared" si="160"/>
        <v>0</v>
      </c>
      <c r="O615" s="114">
        <f t="shared" si="160"/>
        <v>245489</v>
      </c>
      <c r="P615" s="114">
        <f t="shared" si="160"/>
        <v>0</v>
      </c>
      <c r="Q615" s="114">
        <f t="shared" si="160"/>
        <v>0</v>
      </c>
      <c r="R615" s="114">
        <f t="shared" si="160"/>
        <v>0</v>
      </c>
      <c r="S615" s="114">
        <f t="shared" si="160"/>
        <v>0</v>
      </c>
      <c r="T615" s="114">
        <f t="shared" si="160"/>
        <v>0</v>
      </c>
      <c r="U615" s="114">
        <f t="shared" si="160"/>
        <v>0</v>
      </c>
      <c r="V615" s="114">
        <f t="shared" si="160"/>
        <v>0</v>
      </c>
      <c r="W615" s="114">
        <f t="shared" si="160"/>
        <v>0</v>
      </c>
      <c r="X615" s="114">
        <f t="shared" si="160"/>
        <v>3569652.23</v>
      </c>
    </row>
    <row r="616" spans="1:24" ht="21" customHeight="1">
      <c r="A616" s="488" t="s">
        <v>271</v>
      </c>
      <c r="B616" s="489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95"/>
      <c r="P616" s="195"/>
      <c r="Q616" s="115"/>
      <c r="R616" s="115"/>
      <c r="S616" s="115"/>
      <c r="T616" s="115"/>
      <c r="U616" s="115"/>
      <c r="V616" s="115"/>
      <c r="W616" s="115"/>
      <c r="X616" s="116">
        <f aca="true" t="shared" si="161" ref="X616:X621">SUM(C616:W616)</f>
        <v>0</v>
      </c>
    </row>
    <row r="617" spans="1:24" ht="21" customHeight="1">
      <c r="A617" s="108">
        <v>310100</v>
      </c>
      <c r="B617" s="73" t="s">
        <v>238</v>
      </c>
      <c r="C617" s="76">
        <v>11400</v>
      </c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192"/>
      <c r="P617" s="192"/>
      <c r="Q617" s="76"/>
      <c r="R617" s="76"/>
      <c r="S617" s="76"/>
      <c r="T617" s="76"/>
      <c r="U617" s="76"/>
      <c r="V617" s="76"/>
      <c r="W617" s="76"/>
      <c r="X617" s="110">
        <f t="shared" si="161"/>
        <v>11400</v>
      </c>
    </row>
    <row r="618" spans="1:24" ht="21" customHeight="1">
      <c r="A618" s="108">
        <v>310200</v>
      </c>
      <c r="B618" s="73" t="s">
        <v>239</v>
      </c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192"/>
      <c r="P618" s="192"/>
      <c r="Q618" s="76"/>
      <c r="R618" s="76"/>
      <c r="S618" s="76"/>
      <c r="T618" s="76"/>
      <c r="U618" s="76"/>
      <c r="V618" s="76"/>
      <c r="W618" s="76"/>
      <c r="X618" s="110">
        <f t="shared" si="161"/>
        <v>0</v>
      </c>
    </row>
    <row r="619" spans="1:24" ht="21" customHeight="1">
      <c r="A619" s="108">
        <v>310300</v>
      </c>
      <c r="B619" s="73" t="s">
        <v>240</v>
      </c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192"/>
      <c r="P619" s="192"/>
      <c r="Q619" s="76"/>
      <c r="R619" s="76"/>
      <c r="S619" s="76"/>
      <c r="T619" s="76"/>
      <c r="U619" s="76"/>
      <c r="V619" s="76"/>
      <c r="W619" s="76"/>
      <c r="X619" s="110">
        <f t="shared" si="161"/>
        <v>0</v>
      </c>
    </row>
    <row r="620" spans="1:24" ht="21" customHeight="1">
      <c r="A620" s="108">
        <v>310400</v>
      </c>
      <c r="B620" s="73" t="s">
        <v>241</v>
      </c>
      <c r="C620" s="76">
        <v>17300</v>
      </c>
      <c r="D620" s="76">
        <v>4600</v>
      </c>
      <c r="E620" s="76"/>
      <c r="F620" s="76">
        <v>2500</v>
      </c>
      <c r="G620" s="76"/>
      <c r="H620" s="76"/>
      <c r="I620" s="76"/>
      <c r="J620" s="76"/>
      <c r="K620" s="76"/>
      <c r="L620" s="76">
        <v>4800</v>
      </c>
      <c r="M620" s="76"/>
      <c r="N620" s="76"/>
      <c r="O620" s="192">
        <v>2300</v>
      </c>
      <c r="P620" s="192"/>
      <c r="Q620" s="76"/>
      <c r="R620" s="76"/>
      <c r="S620" s="76"/>
      <c r="T620" s="76"/>
      <c r="U620" s="76"/>
      <c r="V620" s="76"/>
      <c r="W620" s="76"/>
      <c r="X620" s="110">
        <f t="shared" si="161"/>
        <v>31500</v>
      </c>
    </row>
    <row r="621" spans="1:24" ht="21" customHeight="1">
      <c r="A621" s="108">
        <v>310500</v>
      </c>
      <c r="B621" s="73" t="s">
        <v>242</v>
      </c>
      <c r="C621" s="76">
        <v>8500</v>
      </c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192"/>
      <c r="P621" s="192"/>
      <c r="Q621" s="76"/>
      <c r="R621" s="76"/>
      <c r="S621" s="76"/>
      <c r="T621" s="76"/>
      <c r="U621" s="76"/>
      <c r="V621" s="76"/>
      <c r="W621" s="76"/>
      <c r="X621" s="110">
        <f t="shared" si="161"/>
        <v>8500</v>
      </c>
    </row>
    <row r="622" spans="1:24" ht="21" customHeight="1">
      <c r="A622" s="111">
        <v>310600</v>
      </c>
      <c r="B622" s="74" t="s">
        <v>243</v>
      </c>
      <c r="C622" s="76"/>
      <c r="D622" s="76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193"/>
      <c r="P622" s="193"/>
      <c r="Q622" s="87"/>
      <c r="R622" s="87"/>
      <c r="S622" s="87"/>
      <c r="T622" s="87"/>
      <c r="U622" s="87"/>
      <c r="V622" s="87"/>
      <c r="W622" s="87"/>
      <c r="X622" s="113">
        <f>SUM(C622:W622)</f>
        <v>0</v>
      </c>
    </row>
    <row r="623" spans="1:25" ht="21" customHeight="1">
      <c r="A623" s="490" t="s">
        <v>230</v>
      </c>
      <c r="B623" s="491"/>
      <c r="C623" s="110">
        <f>SUM(C617:C622)</f>
        <v>37200</v>
      </c>
      <c r="D623" s="110">
        <f aca="true" t="shared" si="162" ref="D623:U623">SUM(D617:D622)</f>
        <v>4600</v>
      </c>
      <c r="E623" s="110">
        <f t="shared" si="162"/>
        <v>0</v>
      </c>
      <c r="F623" s="110">
        <f t="shared" si="162"/>
        <v>2500</v>
      </c>
      <c r="G623" s="110">
        <f t="shared" si="162"/>
        <v>0</v>
      </c>
      <c r="H623" s="110">
        <f t="shared" si="162"/>
        <v>0</v>
      </c>
      <c r="I623" s="110">
        <f t="shared" si="162"/>
        <v>0</v>
      </c>
      <c r="J623" s="110">
        <f t="shared" si="162"/>
        <v>0</v>
      </c>
      <c r="K623" s="110">
        <f t="shared" si="162"/>
        <v>0</v>
      </c>
      <c r="L623" s="110">
        <f t="shared" si="162"/>
        <v>4800</v>
      </c>
      <c r="M623" s="110">
        <f t="shared" si="162"/>
        <v>0</v>
      </c>
      <c r="N623" s="110">
        <f t="shared" si="162"/>
        <v>0</v>
      </c>
      <c r="O623" s="110">
        <f t="shared" si="162"/>
        <v>2300</v>
      </c>
      <c r="P623" s="110">
        <f t="shared" si="162"/>
        <v>0</v>
      </c>
      <c r="Q623" s="110">
        <f t="shared" si="162"/>
        <v>0</v>
      </c>
      <c r="R623" s="110">
        <f t="shared" si="162"/>
        <v>0</v>
      </c>
      <c r="S623" s="110">
        <f t="shared" si="162"/>
        <v>0</v>
      </c>
      <c r="T623" s="110">
        <f t="shared" si="162"/>
        <v>0</v>
      </c>
      <c r="U623" s="110">
        <f t="shared" si="162"/>
        <v>0</v>
      </c>
      <c r="V623" s="110">
        <f>SUM(V617:V622)</f>
        <v>0</v>
      </c>
      <c r="W623" s="110">
        <f>SUM(W617:W622)</f>
        <v>0</v>
      </c>
      <c r="X623" s="110">
        <f>SUM(C623:W623)</f>
        <v>51400</v>
      </c>
      <c r="Y623" s="106">
        <v>51400</v>
      </c>
    </row>
    <row r="624" spans="1:24" ht="21" customHeight="1">
      <c r="A624" s="492" t="s">
        <v>231</v>
      </c>
      <c r="B624" s="493"/>
      <c r="C624" s="114">
        <f>+C623+C508</f>
        <v>119374</v>
      </c>
      <c r="D624" s="114">
        <f aca="true" t="shared" si="163" ref="D624:X624">+D623+D508</f>
        <v>21950</v>
      </c>
      <c r="E624" s="114">
        <f t="shared" si="163"/>
        <v>0</v>
      </c>
      <c r="F624" s="114">
        <f t="shared" si="163"/>
        <v>12500</v>
      </c>
      <c r="G624" s="114">
        <f t="shared" si="163"/>
        <v>0</v>
      </c>
      <c r="H624" s="114">
        <f t="shared" si="163"/>
        <v>0</v>
      </c>
      <c r="I624" s="114">
        <f t="shared" si="163"/>
        <v>0</v>
      </c>
      <c r="J624" s="114">
        <f t="shared" si="163"/>
        <v>0</v>
      </c>
      <c r="K624" s="114">
        <f t="shared" si="163"/>
        <v>0</v>
      </c>
      <c r="L624" s="114">
        <f t="shared" si="163"/>
        <v>28937</v>
      </c>
      <c r="M624" s="114">
        <f t="shared" si="163"/>
        <v>0</v>
      </c>
      <c r="N624" s="114">
        <f t="shared" si="163"/>
        <v>0</v>
      </c>
      <c r="O624" s="114">
        <f t="shared" si="163"/>
        <v>10450</v>
      </c>
      <c r="P624" s="114">
        <f t="shared" si="163"/>
        <v>0</v>
      </c>
      <c r="Q624" s="114">
        <f t="shared" si="163"/>
        <v>0</v>
      </c>
      <c r="R624" s="114">
        <f t="shared" si="163"/>
        <v>0</v>
      </c>
      <c r="S624" s="114">
        <f t="shared" si="163"/>
        <v>0</v>
      </c>
      <c r="T624" s="114">
        <f t="shared" si="163"/>
        <v>0</v>
      </c>
      <c r="U624" s="114">
        <f t="shared" si="163"/>
        <v>0</v>
      </c>
      <c r="V624" s="114">
        <f t="shared" si="163"/>
        <v>0</v>
      </c>
      <c r="W624" s="114">
        <f t="shared" si="163"/>
        <v>0</v>
      </c>
      <c r="X624" s="114">
        <f t="shared" si="163"/>
        <v>193211</v>
      </c>
    </row>
    <row r="625" spans="1:24" ht="21" customHeight="1">
      <c r="A625" s="488" t="s">
        <v>272</v>
      </c>
      <c r="B625" s="489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95"/>
      <c r="P625" s="195"/>
      <c r="Q625" s="115"/>
      <c r="R625" s="115"/>
      <c r="S625" s="115"/>
      <c r="T625" s="115"/>
      <c r="U625" s="115"/>
      <c r="V625" s="115"/>
      <c r="W625" s="115"/>
      <c r="X625" s="116">
        <f>SUM(C625:W625)</f>
        <v>0</v>
      </c>
    </row>
    <row r="626" spans="1:24" ht="21" customHeight="1">
      <c r="A626" s="108">
        <v>320100</v>
      </c>
      <c r="B626" s="73" t="s">
        <v>244</v>
      </c>
      <c r="C626" s="76">
        <f>7000+7000+3700</f>
        <v>17700</v>
      </c>
      <c r="D626" s="76"/>
      <c r="E626" s="76"/>
      <c r="F626" s="76"/>
      <c r="G626" s="76">
        <f>7000+7000+4500</f>
        <v>18500</v>
      </c>
      <c r="H626" s="76"/>
      <c r="I626" s="76"/>
      <c r="J626" s="76">
        <f>7000+7000</f>
        <v>14000</v>
      </c>
      <c r="K626" s="76"/>
      <c r="L626" s="76"/>
      <c r="M626" s="76"/>
      <c r="N626" s="76">
        <f>6500+6500+6500+6500+8651.25</f>
        <v>34651.25</v>
      </c>
      <c r="O626" s="192"/>
      <c r="P626" s="192">
        <v>3640</v>
      </c>
      <c r="Q626" s="76"/>
      <c r="R626" s="76"/>
      <c r="S626" s="76"/>
      <c r="T626" s="76"/>
      <c r="U626" s="76"/>
      <c r="V626" s="76">
        <v>8000</v>
      </c>
      <c r="W626" s="76"/>
      <c r="X626" s="110">
        <f>SUM(C626:W626)</f>
        <v>96491.25</v>
      </c>
    </row>
    <row r="627" spans="1:24" ht="21" customHeight="1">
      <c r="A627" s="108">
        <v>320200</v>
      </c>
      <c r="B627" s="73" t="s">
        <v>245</v>
      </c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192"/>
      <c r="P627" s="192"/>
      <c r="Q627" s="76"/>
      <c r="R627" s="76"/>
      <c r="S627" s="76"/>
      <c r="T627" s="76"/>
      <c r="U627" s="76"/>
      <c r="V627" s="76"/>
      <c r="W627" s="76"/>
      <c r="X627" s="110">
        <f>SUM(C627:W627)</f>
        <v>0</v>
      </c>
    </row>
    <row r="628" spans="1:24" ht="21" customHeight="1">
      <c r="A628" s="108">
        <v>320300</v>
      </c>
      <c r="B628" s="73" t="s">
        <v>246</v>
      </c>
      <c r="C628" s="76">
        <f>7148.65+5235</f>
        <v>12383.65</v>
      </c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192"/>
      <c r="P628" s="192">
        <f>1800+600+500</f>
        <v>2900</v>
      </c>
      <c r="Q628" s="76"/>
      <c r="R628" s="76"/>
      <c r="S628" s="76">
        <f>27600+31000+4600+3015</f>
        <v>66215</v>
      </c>
      <c r="T628" s="76"/>
      <c r="U628" s="76"/>
      <c r="V628" s="76"/>
      <c r="W628" s="76"/>
      <c r="X628" s="110">
        <f>SUM(C628:W628)</f>
        <v>81498.65</v>
      </c>
    </row>
    <row r="629" spans="1:24" ht="21" customHeight="1">
      <c r="A629" s="111">
        <v>320400</v>
      </c>
      <c r="B629" s="74" t="s">
        <v>247</v>
      </c>
      <c r="C629" s="87"/>
      <c r="D629" s="87"/>
      <c r="E629" s="87"/>
      <c r="F629" s="87"/>
      <c r="G629" s="87"/>
      <c r="H629" s="87"/>
      <c r="I629" s="87"/>
      <c r="J629" s="87"/>
      <c r="K629" s="87"/>
      <c r="L629" s="87">
        <v>500</v>
      </c>
      <c r="M629" s="87"/>
      <c r="N629" s="87"/>
      <c r="O629" s="193"/>
      <c r="P629" s="193"/>
      <c r="Q629" s="87"/>
      <c r="R629" s="87"/>
      <c r="S629" s="87"/>
      <c r="T629" s="87"/>
      <c r="U629" s="87"/>
      <c r="V629" s="87"/>
      <c r="W629" s="87"/>
      <c r="X629" s="110">
        <f>SUM(C629:W629)</f>
        <v>500</v>
      </c>
    </row>
    <row r="630" spans="1:25" ht="21" customHeight="1">
      <c r="A630" s="490" t="s">
        <v>230</v>
      </c>
      <c r="B630" s="491"/>
      <c r="C630" s="110">
        <f>SUM(C626:C629)</f>
        <v>30083.65</v>
      </c>
      <c r="D630" s="110">
        <f aca="true" t="shared" si="164" ref="D630:W630">SUM(D626:D629)</f>
        <v>0</v>
      </c>
      <c r="E630" s="110">
        <f t="shared" si="164"/>
        <v>0</v>
      </c>
      <c r="F630" s="110">
        <f t="shared" si="164"/>
        <v>0</v>
      </c>
      <c r="G630" s="110">
        <f t="shared" si="164"/>
        <v>18500</v>
      </c>
      <c r="H630" s="110">
        <f t="shared" si="164"/>
        <v>0</v>
      </c>
      <c r="I630" s="110">
        <f t="shared" si="164"/>
        <v>0</v>
      </c>
      <c r="J630" s="110">
        <f t="shared" si="164"/>
        <v>14000</v>
      </c>
      <c r="K630" s="110">
        <f t="shared" si="164"/>
        <v>0</v>
      </c>
      <c r="L630" s="110">
        <f t="shared" si="164"/>
        <v>500</v>
      </c>
      <c r="M630" s="110">
        <f t="shared" si="164"/>
        <v>0</v>
      </c>
      <c r="N630" s="110">
        <f t="shared" si="164"/>
        <v>34651.25</v>
      </c>
      <c r="O630" s="110">
        <f t="shared" si="164"/>
        <v>0</v>
      </c>
      <c r="P630" s="110">
        <f t="shared" si="164"/>
        <v>6540</v>
      </c>
      <c r="Q630" s="110">
        <f t="shared" si="164"/>
        <v>0</v>
      </c>
      <c r="R630" s="110">
        <f t="shared" si="164"/>
        <v>0</v>
      </c>
      <c r="S630" s="110">
        <f t="shared" si="164"/>
        <v>66215</v>
      </c>
      <c r="T630" s="110">
        <f t="shared" si="164"/>
        <v>0</v>
      </c>
      <c r="U630" s="110">
        <f t="shared" si="164"/>
        <v>0</v>
      </c>
      <c r="V630" s="110">
        <f t="shared" si="164"/>
        <v>8000</v>
      </c>
      <c r="W630" s="110">
        <f t="shared" si="164"/>
        <v>0</v>
      </c>
      <c r="X630" s="110">
        <f>SUM(X626:X629)</f>
        <v>178489.9</v>
      </c>
      <c r="Y630" s="106">
        <f>167641.25+10848.65</f>
        <v>178489.9</v>
      </c>
    </row>
    <row r="631" spans="1:25" ht="21" customHeight="1">
      <c r="A631" s="492" t="s">
        <v>231</v>
      </c>
      <c r="B631" s="493"/>
      <c r="C631" s="114">
        <f>+C630+C515</f>
        <v>286946.76</v>
      </c>
      <c r="D631" s="114">
        <f aca="true" t="shared" si="165" ref="D631:X631">+D630+D515</f>
        <v>39163.8</v>
      </c>
      <c r="E631" s="114">
        <f t="shared" si="165"/>
        <v>0</v>
      </c>
      <c r="F631" s="114">
        <f t="shared" si="165"/>
        <v>44867.4</v>
      </c>
      <c r="G631" s="114">
        <f t="shared" si="165"/>
        <v>142312</v>
      </c>
      <c r="H631" s="114">
        <f t="shared" si="165"/>
        <v>490000</v>
      </c>
      <c r="I631" s="114">
        <f t="shared" si="165"/>
        <v>0</v>
      </c>
      <c r="J631" s="114">
        <f t="shared" si="165"/>
        <v>70000</v>
      </c>
      <c r="K631" s="114">
        <f t="shared" si="165"/>
        <v>0</v>
      </c>
      <c r="L631" s="114">
        <f t="shared" si="165"/>
        <v>13460</v>
      </c>
      <c r="M631" s="114">
        <f t="shared" si="165"/>
        <v>0</v>
      </c>
      <c r="N631" s="114">
        <f t="shared" si="165"/>
        <v>204272.5</v>
      </c>
      <c r="O631" s="114">
        <f t="shared" si="165"/>
        <v>0</v>
      </c>
      <c r="P631" s="114">
        <f t="shared" si="165"/>
        <v>80030</v>
      </c>
      <c r="Q631" s="114">
        <f t="shared" si="165"/>
        <v>26840</v>
      </c>
      <c r="R631" s="114">
        <f t="shared" si="165"/>
        <v>150205</v>
      </c>
      <c r="S631" s="114">
        <f t="shared" si="165"/>
        <v>77215</v>
      </c>
      <c r="T631" s="114">
        <f t="shared" si="165"/>
        <v>0</v>
      </c>
      <c r="U631" s="114">
        <f t="shared" si="165"/>
        <v>0</v>
      </c>
      <c r="V631" s="114">
        <f t="shared" si="165"/>
        <v>60185</v>
      </c>
      <c r="W631" s="114">
        <f t="shared" si="165"/>
        <v>0</v>
      </c>
      <c r="X631" s="114">
        <f t="shared" si="165"/>
        <v>1685497.46</v>
      </c>
      <c r="Y631" s="106">
        <f>+Y630-X630</f>
        <v>0</v>
      </c>
    </row>
    <row r="632" spans="1:24" ht="21" customHeight="1">
      <c r="A632" s="488" t="s">
        <v>273</v>
      </c>
      <c r="B632" s="489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95"/>
      <c r="P632" s="195"/>
      <c r="Q632" s="115"/>
      <c r="R632" s="115"/>
      <c r="S632" s="115"/>
      <c r="T632" s="115"/>
      <c r="U632" s="115"/>
      <c r="V632" s="115"/>
      <c r="W632" s="115"/>
      <c r="X632" s="116">
        <f>SUM(C632:W632)</f>
        <v>0</v>
      </c>
    </row>
    <row r="633" spans="1:24" ht="21" customHeight="1">
      <c r="A633" s="108">
        <v>330100</v>
      </c>
      <c r="B633" s="73" t="s">
        <v>248</v>
      </c>
      <c r="C633" s="76">
        <v>19815</v>
      </c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192"/>
      <c r="P633" s="192"/>
      <c r="Q633" s="76"/>
      <c r="R633" s="76"/>
      <c r="S633" s="76"/>
      <c r="T633" s="76"/>
      <c r="U633" s="76"/>
      <c r="V633" s="76"/>
      <c r="W633" s="76"/>
      <c r="X633" s="110">
        <f>SUM(C633:W633)</f>
        <v>19815</v>
      </c>
    </row>
    <row r="634" spans="1:24" ht="21" customHeight="1">
      <c r="A634" s="108">
        <v>330200</v>
      </c>
      <c r="B634" s="73" t="s">
        <v>249</v>
      </c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192"/>
      <c r="P634" s="192"/>
      <c r="Q634" s="76"/>
      <c r="R634" s="76"/>
      <c r="S634" s="76"/>
      <c r="T634" s="76"/>
      <c r="U634" s="76"/>
      <c r="V634" s="76"/>
      <c r="W634" s="76"/>
      <c r="X634" s="110">
        <f>SUM(C634:W634)</f>
        <v>0</v>
      </c>
    </row>
    <row r="635" spans="1:24" ht="21" customHeight="1">
      <c r="A635" s="108">
        <v>330300</v>
      </c>
      <c r="B635" s="73" t="s">
        <v>326</v>
      </c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192"/>
      <c r="P635" s="192"/>
      <c r="Q635" s="76"/>
      <c r="R635" s="76"/>
      <c r="S635" s="76"/>
      <c r="T635" s="76"/>
      <c r="U635" s="76"/>
      <c r="V635" s="76"/>
      <c r="W635" s="76"/>
      <c r="X635" s="110">
        <f>SUM(C635:W635)</f>
        <v>0</v>
      </c>
    </row>
    <row r="636" spans="1:24" ht="21" customHeight="1">
      <c r="A636" s="108">
        <v>330400</v>
      </c>
      <c r="B636" s="73" t="s">
        <v>274</v>
      </c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192"/>
      <c r="P636" s="192"/>
      <c r="Q636" s="76"/>
      <c r="R636" s="76"/>
      <c r="S636" s="76"/>
      <c r="T636" s="76"/>
      <c r="U636" s="76"/>
      <c r="V636" s="76"/>
      <c r="W636" s="76"/>
      <c r="X636" s="110">
        <f>SUM(C636:W636)</f>
        <v>0</v>
      </c>
    </row>
    <row r="637" spans="1:24" ht="21" customHeight="1">
      <c r="A637" s="108">
        <v>330600</v>
      </c>
      <c r="B637" s="73" t="s">
        <v>250</v>
      </c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192"/>
      <c r="P637" s="192"/>
      <c r="Q637" s="76"/>
      <c r="R637" s="76"/>
      <c r="S637" s="76"/>
      <c r="T637" s="76"/>
      <c r="U637" s="76"/>
      <c r="V637" s="76">
        <f>22771+2348</f>
        <v>25119</v>
      </c>
      <c r="W637" s="76"/>
      <c r="X637" s="110">
        <f>SUM(C637:W637)</f>
        <v>25119</v>
      </c>
    </row>
    <row r="638" spans="1:24" ht="21" customHeight="1">
      <c r="A638" s="108">
        <v>330700</v>
      </c>
      <c r="B638" s="73" t="s">
        <v>494</v>
      </c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192"/>
      <c r="P638" s="192"/>
      <c r="Q638" s="76"/>
      <c r="R638" s="76"/>
      <c r="S638" s="76"/>
      <c r="T638" s="76"/>
      <c r="U638" s="76"/>
      <c r="V638" s="76"/>
      <c r="W638" s="76"/>
      <c r="X638" s="110">
        <f>SUM(C638:W638)</f>
        <v>0</v>
      </c>
    </row>
    <row r="639" spans="1:24" ht="21" customHeight="1">
      <c r="A639" s="108">
        <v>330800</v>
      </c>
      <c r="B639" s="73" t="s">
        <v>251</v>
      </c>
      <c r="C639" s="76">
        <v>26994.96</v>
      </c>
      <c r="D639" s="76"/>
      <c r="E639" s="76"/>
      <c r="F639" s="76"/>
      <c r="G639" s="76"/>
      <c r="H639" s="76"/>
      <c r="I639" s="76"/>
      <c r="J639" s="76">
        <v>8000</v>
      </c>
      <c r="K639" s="76"/>
      <c r="L639" s="76"/>
      <c r="M639" s="76"/>
      <c r="N639" s="76">
        <v>25000</v>
      </c>
      <c r="O639" s="192"/>
      <c r="P639" s="192"/>
      <c r="Q639" s="76"/>
      <c r="R639" s="76"/>
      <c r="S639" s="76"/>
      <c r="T639" s="76"/>
      <c r="U639" s="76"/>
      <c r="V639" s="76"/>
      <c r="W639" s="76"/>
      <c r="X639" s="110">
        <f>SUM(C639:W639)</f>
        <v>59994.96</v>
      </c>
    </row>
    <row r="640" spans="1:24" ht="21" customHeight="1">
      <c r="A640" s="108">
        <v>330900</v>
      </c>
      <c r="B640" s="73" t="s">
        <v>253</v>
      </c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192"/>
      <c r="P640" s="192"/>
      <c r="Q640" s="76"/>
      <c r="R640" s="76"/>
      <c r="S640" s="76"/>
      <c r="T640" s="76"/>
      <c r="U640" s="76"/>
      <c r="V640" s="76"/>
      <c r="W640" s="76"/>
      <c r="X640" s="110">
        <f>SUM(C640:W640)</f>
        <v>0</v>
      </c>
    </row>
    <row r="641" spans="1:24" ht="21" customHeight="1">
      <c r="A641" s="497" t="s">
        <v>194</v>
      </c>
      <c r="B641" s="497"/>
      <c r="C641" s="496" t="s">
        <v>196</v>
      </c>
      <c r="D641" s="496"/>
      <c r="E641" s="499" t="s">
        <v>199</v>
      </c>
      <c r="F641" s="500"/>
      <c r="G641" s="496" t="s">
        <v>201</v>
      </c>
      <c r="H641" s="497"/>
      <c r="I641" s="499" t="s">
        <v>215</v>
      </c>
      <c r="J641" s="500"/>
      <c r="K641" s="379" t="s">
        <v>216</v>
      </c>
      <c r="L641" s="499" t="s">
        <v>217</v>
      </c>
      <c r="M641" s="501"/>
      <c r="N641" s="500"/>
      <c r="O641" s="499" t="s">
        <v>218</v>
      </c>
      <c r="P641" s="500"/>
      <c r="Q641" s="499" t="s">
        <v>219</v>
      </c>
      <c r="R641" s="501"/>
      <c r="S641" s="500"/>
      <c r="T641" s="496" t="s">
        <v>220</v>
      </c>
      <c r="U641" s="497"/>
      <c r="V641" s="379" t="s">
        <v>284</v>
      </c>
      <c r="W641" s="379" t="s">
        <v>221</v>
      </c>
      <c r="X641" s="498" t="s">
        <v>17</v>
      </c>
    </row>
    <row r="642" spans="1:24" ht="21" customHeight="1">
      <c r="A642" s="497" t="s">
        <v>195</v>
      </c>
      <c r="B642" s="497"/>
      <c r="C642" s="379" t="s">
        <v>197</v>
      </c>
      <c r="D642" s="379" t="s">
        <v>198</v>
      </c>
      <c r="E642" s="379" t="s">
        <v>200</v>
      </c>
      <c r="F642" s="379" t="s">
        <v>288</v>
      </c>
      <c r="G642" s="379" t="s">
        <v>202</v>
      </c>
      <c r="H642" s="379" t="s">
        <v>203</v>
      </c>
      <c r="I642" s="379" t="s">
        <v>204</v>
      </c>
      <c r="J642" s="379" t="s">
        <v>205</v>
      </c>
      <c r="K642" s="379" t="s">
        <v>206</v>
      </c>
      <c r="L642" s="379" t="s">
        <v>207</v>
      </c>
      <c r="M642" s="379" t="s">
        <v>208</v>
      </c>
      <c r="N642" s="379" t="s">
        <v>334</v>
      </c>
      <c r="O642" s="380" t="s">
        <v>471</v>
      </c>
      <c r="P642" s="380" t="s">
        <v>209</v>
      </c>
      <c r="Q642" s="379" t="s">
        <v>210</v>
      </c>
      <c r="R642" s="379" t="s">
        <v>211</v>
      </c>
      <c r="S642" s="379" t="s">
        <v>290</v>
      </c>
      <c r="T642" s="379" t="s">
        <v>212</v>
      </c>
      <c r="U642" s="379" t="s">
        <v>213</v>
      </c>
      <c r="V642" s="379" t="s">
        <v>285</v>
      </c>
      <c r="W642" s="379" t="s">
        <v>214</v>
      </c>
      <c r="X642" s="498"/>
    </row>
    <row r="643" spans="1:24" ht="21" customHeight="1">
      <c r="A643" s="300">
        <v>331000</v>
      </c>
      <c r="B643" s="303" t="s">
        <v>462</v>
      </c>
      <c r="C643" s="304"/>
      <c r="D643" s="301"/>
      <c r="E643" s="301"/>
      <c r="F643" s="301"/>
      <c r="G643" s="301"/>
      <c r="H643" s="301"/>
      <c r="I643" s="301"/>
      <c r="J643" s="301"/>
      <c r="K643" s="301"/>
      <c r="L643" s="301"/>
      <c r="M643" s="301"/>
      <c r="N643" s="301"/>
      <c r="O643" s="302"/>
      <c r="P643" s="302"/>
      <c r="Q643" s="301"/>
      <c r="R643" s="301"/>
      <c r="S643" s="301"/>
      <c r="T643" s="301"/>
      <c r="U643" s="301"/>
      <c r="V643" s="301"/>
      <c r="W643" s="301"/>
      <c r="X643" s="110">
        <f>SUM(C643:W643)</f>
        <v>0</v>
      </c>
    </row>
    <row r="644" spans="1:24" ht="21" customHeight="1">
      <c r="A644" s="108">
        <v>331200</v>
      </c>
      <c r="B644" s="73" t="s">
        <v>254</v>
      </c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192"/>
      <c r="P644" s="192"/>
      <c r="Q644" s="76"/>
      <c r="R644" s="76"/>
      <c r="S644" s="76"/>
      <c r="T644" s="76"/>
      <c r="U644" s="76"/>
      <c r="V644" s="76"/>
      <c r="W644" s="76"/>
      <c r="X644" s="110">
        <f>SUM(C644:W644)</f>
        <v>0</v>
      </c>
    </row>
    <row r="645" spans="1:24" ht="21" customHeight="1">
      <c r="A645" s="108">
        <v>331300</v>
      </c>
      <c r="B645" s="73" t="s">
        <v>255</v>
      </c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192"/>
      <c r="P645" s="192"/>
      <c r="Q645" s="76"/>
      <c r="R645" s="76"/>
      <c r="S645" s="76"/>
      <c r="T645" s="76"/>
      <c r="U645" s="76"/>
      <c r="V645" s="76"/>
      <c r="W645" s="76"/>
      <c r="X645" s="110">
        <f>SUM(C645:W645)</f>
        <v>0</v>
      </c>
    </row>
    <row r="646" spans="1:24" ht="21" customHeight="1">
      <c r="A646" s="108">
        <v>331400</v>
      </c>
      <c r="B646" s="73" t="s">
        <v>252</v>
      </c>
      <c r="C646" s="76"/>
      <c r="D646" s="76">
        <v>16170</v>
      </c>
      <c r="E646" s="76"/>
      <c r="F646" s="76"/>
      <c r="G646" s="76"/>
      <c r="H646" s="76"/>
      <c r="I646" s="76"/>
      <c r="J646" s="76"/>
      <c r="K646" s="76"/>
      <c r="L646" s="76">
        <v>15620</v>
      </c>
      <c r="M646" s="76"/>
      <c r="N646" s="76"/>
      <c r="O646" s="192"/>
      <c r="P646" s="192"/>
      <c r="Q646" s="76"/>
      <c r="R646" s="76"/>
      <c r="S646" s="76"/>
      <c r="T646" s="76"/>
      <c r="U646" s="76"/>
      <c r="V646" s="76"/>
      <c r="W646" s="76"/>
      <c r="X646" s="110">
        <f>SUM(C646:W646)</f>
        <v>31790</v>
      </c>
    </row>
    <row r="647" spans="1:24" ht="21" customHeight="1">
      <c r="A647" s="108">
        <v>331500</v>
      </c>
      <c r="B647" s="73" t="s">
        <v>256</v>
      </c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192"/>
      <c r="P647" s="192"/>
      <c r="Q647" s="76"/>
      <c r="R647" s="76"/>
      <c r="S647" s="76"/>
      <c r="T647" s="76"/>
      <c r="U647" s="76"/>
      <c r="V647" s="76"/>
      <c r="W647" s="76"/>
      <c r="X647" s="110">
        <f>SUM(C647:W647)</f>
        <v>0</v>
      </c>
    </row>
    <row r="648" spans="1:24" ht="21" customHeight="1">
      <c r="A648" s="111">
        <v>331700</v>
      </c>
      <c r="B648" s="74" t="s">
        <v>257</v>
      </c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193"/>
      <c r="P648" s="193"/>
      <c r="Q648" s="87"/>
      <c r="R648" s="87"/>
      <c r="S648" s="87"/>
      <c r="T648" s="87"/>
      <c r="U648" s="87"/>
      <c r="V648" s="87"/>
      <c r="W648" s="87"/>
      <c r="X648" s="110">
        <f>SUM(C648:W648)</f>
        <v>0</v>
      </c>
    </row>
    <row r="649" spans="1:24" ht="21" customHeight="1">
      <c r="A649" s="490" t="s">
        <v>230</v>
      </c>
      <c r="B649" s="491"/>
      <c r="C649" s="110">
        <f aca="true" t="shared" si="166" ref="C649:W649">SUM(C633:C648)</f>
        <v>46809.96</v>
      </c>
      <c r="D649" s="110">
        <f t="shared" si="166"/>
        <v>16170</v>
      </c>
      <c r="E649" s="110">
        <f t="shared" si="166"/>
        <v>0</v>
      </c>
      <c r="F649" s="110">
        <f t="shared" si="166"/>
        <v>0</v>
      </c>
      <c r="G649" s="110">
        <f t="shared" si="166"/>
        <v>0</v>
      </c>
      <c r="H649" s="110">
        <f t="shared" si="166"/>
        <v>0</v>
      </c>
      <c r="I649" s="110">
        <f t="shared" si="166"/>
        <v>0</v>
      </c>
      <c r="J649" s="110">
        <f t="shared" si="166"/>
        <v>8000</v>
      </c>
      <c r="K649" s="110">
        <f t="shared" si="166"/>
        <v>0</v>
      </c>
      <c r="L649" s="110">
        <f t="shared" si="166"/>
        <v>15620</v>
      </c>
      <c r="M649" s="110">
        <f t="shared" si="166"/>
        <v>0</v>
      </c>
      <c r="N649" s="110">
        <f t="shared" si="166"/>
        <v>25000</v>
      </c>
      <c r="O649" s="110">
        <f t="shared" si="166"/>
        <v>0</v>
      </c>
      <c r="P649" s="110">
        <f t="shared" si="166"/>
        <v>0</v>
      </c>
      <c r="Q649" s="110">
        <f t="shared" si="166"/>
        <v>0</v>
      </c>
      <c r="R649" s="110">
        <f t="shared" si="166"/>
        <v>0</v>
      </c>
      <c r="S649" s="110">
        <f t="shared" si="166"/>
        <v>0</v>
      </c>
      <c r="T649" s="110">
        <f t="shared" si="166"/>
        <v>0</v>
      </c>
      <c r="U649" s="110">
        <f t="shared" si="166"/>
        <v>0</v>
      </c>
      <c r="V649" s="110">
        <f t="shared" si="166"/>
        <v>25119</v>
      </c>
      <c r="W649" s="110">
        <f t="shared" si="166"/>
        <v>0</v>
      </c>
      <c r="X649" s="110">
        <f>SUM(X633:X648)</f>
        <v>136718.96</v>
      </c>
    </row>
    <row r="650" spans="1:24" ht="21" customHeight="1">
      <c r="A650" s="492" t="s">
        <v>231</v>
      </c>
      <c r="B650" s="493"/>
      <c r="C650" s="114">
        <f>+C649+C534</f>
        <v>254977.31999999998</v>
      </c>
      <c r="D650" s="114">
        <f aca="true" t="shared" si="167" ref="D650:X650">+D649+D534</f>
        <v>74040</v>
      </c>
      <c r="E650" s="114">
        <f t="shared" si="167"/>
        <v>0</v>
      </c>
      <c r="F650" s="114">
        <f t="shared" si="167"/>
        <v>0</v>
      </c>
      <c r="G650" s="114">
        <f t="shared" si="167"/>
        <v>0</v>
      </c>
      <c r="H650" s="114">
        <f t="shared" si="167"/>
        <v>0</v>
      </c>
      <c r="I650" s="114">
        <f t="shared" si="167"/>
        <v>0</v>
      </c>
      <c r="J650" s="114">
        <f t="shared" si="167"/>
        <v>39130</v>
      </c>
      <c r="K650" s="114">
        <f t="shared" si="167"/>
        <v>0</v>
      </c>
      <c r="L650" s="114">
        <f t="shared" si="167"/>
        <v>27500</v>
      </c>
      <c r="M650" s="114">
        <f t="shared" si="167"/>
        <v>0</v>
      </c>
      <c r="N650" s="114">
        <f t="shared" si="167"/>
        <v>172740</v>
      </c>
      <c r="O650" s="114">
        <f t="shared" si="167"/>
        <v>0</v>
      </c>
      <c r="P650" s="114">
        <f t="shared" si="167"/>
        <v>0</v>
      </c>
      <c r="Q650" s="114">
        <f t="shared" si="167"/>
        <v>24870</v>
      </c>
      <c r="R650" s="114">
        <f t="shared" si="167"/>
        <v>0</v>
      </c>
      <c r="S650" s="114">
        <f t="shared" si="167"/>
        <v>0</v>
      </c>
      <c r="T650" s="114">
        <f t="shared" si="167"/>
        <v>0</v>
      </c>
      <c r="U650" s="114">
        <f t="shared" si="167"/>
        <v>24200</v>
      </c>
      <c r="V650" s="114">
        <f t="shared" si="167"/>
        <v>48805</v>
      </c>
      <c r="W650" s="114">
        <f t="shared" si="167"/>
        <v>0</v>
      </c>
      <c r="X650" s="114">
        <f t="shared" si="167"/>
        <v>666262.32</v>
      </c>
    </row>
    <row r="651" spans="1:24" ht="21" customHeight="1">
      <c r="A651" s="488" t="s">
        <v>275</v>
      </c>
      <c r="B651" s="489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95"/>
      <c r="P651" s="195"/>
      <c r="Q651" s="115"/>
      <c r="R651" s="115"/>
      <c r="S651" s="115"/>
      <c r="T651" s="115"/>
      <c r="U651" s="115"/>
      <c r="V651" s="115"/>
      <c r="W651" s="115"/>
      <c r="X651" s="116">
        <f>SUM(C651:W651)</f>
        <v>0</v>
      </c>
    </row>
    <row r="652" spans="1:24" ht="21" customHeight="1">
      <c r="A652" s="108">
        <v>340100</v>
      </c>
      <c r="B652" s="73" t="s">
        <v>258</v>
      </c>
      <c r="C652" s="76">
        <v>21249.31</v>
      </c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192"/>
      <c r="P652" s="192"/>
      <c r="Q652" s="76"/>
      <c r="R652" s="76"/>
      <c r="S652" s="76"/>
      <c r="T652" s="76"/>
      <c r="U652" s="76"/>
      <c r="V652" s="76">
        <v>56733.17</v>
      </c>
      <c r="W652" s="76"/>
      <c r="X652" s="110">
        <f>SUM(C652:W652)</f>
        <v>77982.48</v>
      </c>
    </row>
    <row r="653" spans="1:24" ht="21" customHeight="1">
      <c r="A653" s="108">
        <v>340300</v>
      </c>
      <c r="B653" s="73" t="s">
        <v>259</v>
      </c>
      <c r="C653" s="76">
        <v>492.84</v>
      </c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192"/>
      <c r="P653" s="192"/>
      <c r="Q653" s="76"/>
      <c r="R653" s="76"/>
      <c r="S653" s="76"/>
      <c r="T653" s="76"/>
      <c r="U653" s="76"/>
      <c r="V653" s="76"/>
      <c r="W653" s="76"/>
      <c r="X653" s="110">
        <f>SUM(C653:W653)</f>
        <v>492.84</v>
      </c>
    </row>
    <row r="654" spans="1:24" ht="21" customHeight="1">
      <c r="A654" s="108">
        <v>340400</v>
      </c>
      <c r="B654" s="73" t="s">
        <v>260</v>
      </c>
      <c r="C654" s="76">
        <v>6645</v>
      </c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192"/>
      <c r="P654" s="192"/>
      <c r="Q654" s="76"/>
      <c r="R654" s="76"/>
      <c r="S654" s="76"/>
      <c r="T654" s="76"/>
      <c r="U654" s="76"/>
      <c r="V654" s="76"/>
      <c r="W654" s="76"/>
      <c r="X654" s="110">
        <f>SUM(C654:W654)</f>
        <v>6645</v>
      </c>
    </row>
    <row r="655" spans="1:24" ht="21" customHeight="1">
      <c r="A655" s="111">
        <v>340500</v>
      </c>
      <c r="B655" s="74" t="s">
        <v>261</v>
      </c>
      <c r="C655" s="76">
        <v>8560</v>
      </c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193"/>
      <c r="P655" s="193"/>
      <c r="Q655" s="87"/>
      <c r="R655" s="87"/>
      <c r="S655" s="87"/>
      <c r="T655" s="87"/>
      <c r="U655" s="87"/>
      <c r="V655" s="87"/>
      <c r="W655" s="87"/>
      <c r="X655" s="113">
        <f>SUM(C655:W655)</f>
        <v>8560</v>
      </c>
    </row>
    <row r="656" spans="1:24" ht="21" customHeight="1">
      <c r="A656" s="490" t="s">
        <v>230</v>
      </c>
      <c r="B656" s="491"/>
      <c r="C656" s="110">
        <f>SUM(C652:C655)</f>
        <v>36947.15</v>
      </c>
      <c r="D656" s="110">
        <f aca="true" t="shared" si="168" ref="D656:X656">SUM(D652:D655)</f>
        <v>0</v>
      </c>
      <c r="E656" s="110">
        <f t="shared" si="168"/>
        <v>0</v>
      </c>
      <c r="F656" s="110">
        <f t="shared" si="168"/>
        <v>0</v>
      </c>
      <c r="G656" s="110">
        <f t="shared" si="168"/>
        <v>0</v>
      </c>
      <c r="H656" s="110">
        <f t="shared" si="168"/>
        <v>0</v>
      </c>
      <c r="I656" s="110">
        <f t="shared" si="168"/>
        <v>0</v>
      </c>
      <c r="J656" s="110">
        <f t="shared" si="168"/>
        <v>0</v>
      </c>
      <c r="K656" s="110">
        <f t="shared" si="168"/>
        <v>0</v>
      </c>
      <c r="L656" s="110">
        <f t="shared" si="168"/>
        <v>0</v>
      </c>
      <c r="M656" s="110">
        <f t="shared" si="168"/>
        <v>0</v>
      </c>
      <c r="N656" s="110">
        <f t="shared" si="168"/>
        <v>0</v>
      </c>
      <c r="O656" s="110">
        <f t="shared" si="168"/>
        <v>0</v>
      </c>
      <c r="P656" s="110">
        <f t="shared" si="168"/>
        <v>0</v>
      </c>
      <c r="Q656" s="110">
        <f t="shared" si="168"/>
        <v>0</v>
      </c>
      <c r="R656" s="110">
        <f t="shared" si="168"/>
        <v>0</v>
      </c>
      <c r="S656" s="110">
        <f t="shared" si="168"/>
        <v>0</v>
      </c>
      <c r="T656" s="110">
        <f t="shared" si="168"/>
        <v>0</v>
      </c>
      <c r="U656" s="110">
        <f t="shared" si="168"/>
        <v>0</v>
      </c>
      <c r="V656" s="110">
        <f t="shared" si="168"/>
        <v>56733.17</v>
      </c>
      <c r="W656" s="110">
        <f t="shared" si="168"/>
        <v>0</v>
      </c>
      <c r="X656" s="110">
        <f t="shared" si="168"/>
        <v>93680.31999999999</v>
      </c>
    </row>
    <row r="657" spans="1:24" ht="21" customHeight="1">
      <c r="A657" s="492" t="s">
        <v>231</v>
      </c>
      <c r="B657" s="493"/>
      <c r="C657" s="114">
        <f>+C656+C541</f>
        <v>201820.8</v>
      </c>
      <c r="D657" s="114">
        <f aca="true" t="shared" si="169" ref="D657:X657">+D656+D541</f>
        <v>0</v>
      </c>
      <c r="E657" s="114">
        <f t="shared" si="169"/>
        <v>0</v>
      </c>
      <c r="F657" s="114">
        <f t="shared" si="169"/>
        <v>0</v>
      </c>
      <c r="G657" s="114">
        <f t="shared" si="169"/>
        <v>0</v>
      </c>
      <c r="H657" s="114">
        <f t="shared" si="169"/>
        <v>0</v>
      </c>
      <c r="I657" s="114">
        <f t="shared" si="169"/>
        <v>0</v>
      </c>
      <c r="J657" s="114">
        <f t="shared" si="169"/>
        <v>0</v>
      </c>
      <c r="K657" s="114">
        <f t="shared" si="169"/>
        <v>0</v>
      </c>
      <c r="L657" s="114">
        <f t="shared" si="169"/>
        <v>0</v>
      </c>
      <c r="M657" s="114">
        <f t="shared" si="169"/>
        <v>0</v>
      </c>
      <c r="N657" s="114">
        <f t="shared" si="169"/>
        <v>0</v>
      </c>
      <c r="O657" s="114">
        <f t="shared" si="169"/>
        <v>0</v>
      </c>
      <c r="P657" s="114">
        <f t="shared" si="169"/>
        <v>0</v>
      </c>
      <c r="Q657" s="114">
        <f t="shared" si="169"/>
        <v>0</v>
      </c>
      <c r="R657" s="114">
        <f t="shared" si="169"/>
        <v>0</v>
      </c>
      <c r="S657" s="114">
        <f t="shared" si="169"/>
        <v>0</v>
      </c>
      <c r="T657" s="114">
        <f t="shared" si="169"/>
        <v>0</v>
      </c>
      <c r="U657" s="114">
        <f t="shared" si="169"/>
        <v>0</v>
      </c>
      <c r="V657" s="114">
        <f t="shared" si="169"/>
        <v>319768.59</v>
      </c>
      <c r="W657" s="114">
        <f t="shared" si="169"/>
        <v>0</v>
      </c>
      <c r="X657" s="114">
        <f t="shared" si="169"/>
        <v>521589.38999999996</v>
      </c>
    </row>
    <row r="658" spans="1:24" ht="21" customHeight="1">
      <c r="A658" s="488" t="s">
        <v>276</v>
      </c>
      <c r="B658" s="489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95"/>
      <c r="P658" s="195"/>
      <c r="Q658" s="115"/>
      <c r="R658" s="115"/>
      <c r="S658" s="115"/>
      <c r="T658" s="115"/>
      <c r="U658" s="115"/>
      <c r="V658" s="115"/>
      <c r="W658" s="115"/>
      <c r="X658" s="116">
        <f aca="true" t="shared" si="170" ref="X658:X670">SUM(C658:W658)</f>
        <v>0</v>
      </c>
    </row>
    <row r="659" spans="1:24" ht="21" customHeight="1">
      <c r="A659" s="108">
        <v>410400</v>
      </c>
      <c r="B659" s="73" t="s">
        <v>262</v>
      </c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192"/>
      <c r="P659" s="192"/>
      <c r="Q659" s="76"/>
      <c r="R659" s="76"/>
      <c r="S659" s="76"/>
      <c r="T659" s="76"/>
      <c r="U659" s="76"/>
      <c r="V659" s="76"/>
      <c r="W659" s="76"/>
      <c r="X659" s="110">
        <f t="shared" si="170"/>
        <v>0</v>
      </c>
    </row>
    <row r="660" spans="1:24" ht="21" customHeight="1">
      <c r="A660" s="108">
        <v>410200</v>
      </c>
      <c r="B660" s="73" t="s">
        <v>310</v>
      </c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192"/>
      <c r="P660" s="192"/>
      <c r="Q660" s="76"/>
      <c r="R660" s="76"/>
      <c r="S660" s="76"/>
      <c r="T660" s="76"/>
      <c r="U660" s="76"/>
      <c r="V660" s="76"/>
      <c r="W660" s="76"/>
      <c r="X660" s="110">
        <f t="shared" si="170"/>
        <v>0</v>
      </c>
    </row>
    <row r="661" spans="1:24" ht="21" customHeight="1">
      <c r="A661" s="108">
        <v>410300</v>
      </c>
      <c r="B661" s="73" t="s">
        <v>263</v>
      </c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192"/>
      <c r="P661" s="192"/>
      <c r="Q661" s="76"/>
      <c r="R661" s="76"/>
      <c r="S661" s="76"/>
      <c r="T661" s="76"/>
      <c r="U661" s="76"/>
      <c r="V661" s="76"/>
      <c r="W661" s="76"/>
      <c r="X661" s="110">
        <f t="shared" si="170"/>
        <v>0</v>
      </c>
    </row>
    <row r="662" spans="1:24" ht="21" customHeight="1">
      <c r="A662" s="108">
        <v>410400</v>
      </c>
      <c r="B662" s="73" t="s">
        <v>311</v>
      </c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193"/>
      <c r="P662" s="193"/>
      <c r="Q662" s="87"/>
      <c r="R662" s="87"/>
      <c r="S662" s="87"/>
      <c r="T662" s="87"/>
      <c r="U662" s="87"/>
      <c r="V662" s="87">
        <v>49000</v>
      </c>
      <c r="W662" s="87"/>
      <c r="X662" s="110">
        <f t="shared" si="170"/>
        <v>49000</v>
      </c>
    </row>
    <row r="663" spans="1:24" ht="21" customHeight="1">
      <c r="A663" s="108">
        <v>410500</v>
      </c>
      <c r="B663" s="73" t="s">
        <v>312</v>
      </c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193"/>
      <c r="P663" s="193"/>
      <c r="Q663" s="87"/>
      <c r="R663" s="87"/>
      <c r="S663" s="87"/>
      <c r="T663" s="87"/>
      <c r="U663" s="87"/>
      <c r="V663" s="87"/>
      <c r="W663" s="87"/>
      <c r="X663" s="110">
        <f t="shared" si="170"/>
        <v>0</v>
      </c>
    </row>
    <row r="664" spans="1:24" ht="21" customHeight="1">
      <c r="A664" s="108">
        <v>410600</v>
      </c>
      <c r="B664" s="73" t="s">
        <v>313</v>
      </c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193"/>
      <c r="P664" s="193"/>
      <c r="Q664" s="87"/>
      <c r="R664" s="87"/>
      <c r="S664" s="87"/>
      <c r="T664" s="87"/>
      <c r="U664" s="87"/>
      <c r="V664" s="87"/>
      <c r="W664" s="87"/>
      <c r="X664" s="110">
        <f t="shared" si="170"/>
        <v>0</v>
      </c>
    </row>
    <row r="665" spans="1:24" ht="21" customHeight="1">
      <c r="A665" s="108">
        <v>410700</v>
      </c>
      <c r="B665" s="73" t="s">
        <v>264</v>
      </c>
      <c r="C665" s="76"/>
      <c r="D665" s="76"/>
      <c r="E665" s="76"/>
      <c r="F665" s="76"/>
      <c r="G665" s="76"/>
      <c r="H665" s="76"/>
      <c r="I665" s="76"/>
      <c r="J665" s="76"/>
      <c r="K665" s="76"/>
      <c r="L665" s="76">
        <v>9800</v>
      </c>
      <c r="M665" s="76"/>
      <c r="N665" s="76"/>
      <c r="O665" s="192"/>
      <c r="P665" s="192"/>
      <c r="Q665" s="76"/>
      <c r="R665" s="76"/>
      <c r="S665" s="76"/>
      <c r="T665" s="76"/>
      <c r="U665" s="76"/>
      <c r="V665" s="76"/>
      <c r="W665" s="76"/>
      <c r="X665" s="110">
        <f t="shared" si="170"/>
        <v>9800</v>
      </c>
    </row>
    <row r="666" spans="1:24" ht="21" customHeight="1" hidden="1">
      <c r="A666" s="108">
        <v>410800</v>
      </c>
      <c r="B666" s="73" t="s">
        <v>314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193"/>
      <c r="P666" s="193"/>
      <c r="Q666" s="87"/>
      <c r="R666" s="87"/>
      <c r="S666" s="87"/>
      <c r="T666" s="87"/>
      <c r="U666" s="87"/>
      <c r="V666" s="87"/>
      <c r="W666" s="87"/>
      <c r="X666" s="110">
        <f t="shared" si="170"/>
        <v>0</v>
      </c>
    </row>
    <row r="667" spans="1:24" ht="21" customHeight="1" hidden="1">
      <c r="A667" s="108">
        <v>410900</v>
      </c>
      <c r="B667" s="73" t="s">
        <v>347</v>
      </c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193"/>
      <c r="P667" s="193"/>
      <c r="Q667" s="87"/>
      <c r="R667" s="87"/>
      <c r="S667" s="87"/>
      <c r="T667" s="87"/>
      <c r="U667" s="87"/>
      <c r="V667" s="87"/>
      <c r="W667" s="87"/>
      <c r="X667" s="110">
        <f t="shared" si="170"/>
        <v>0</v>
      </c>
    </row>
    <row r="668" spans="1:24" ht="21" customHeight="1" hidden="1">
      <c r="A668" s="108">
        <v>411000</v>
      </c>
      <c r="B668" s="73" t="s">
        <v>449</v>
      </c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193"/>
      <c r="P668" s="193"/>
      <c r="Q668" s="87"/>
      <c r="R668" s="87"/>
      <c r="S668" s="87"/>
      <c r="T668" s="87"/>
      <c r="U668" s="87"/>
      <c r="V668" s="87"/>
      <c r="W668" s="87"/>
      <c r="X668" s="110">
        <f t="shared" si="170"/>
        <v>0</v>
      </c>
    </row>
    <row r="669" spans="1:24" ht="21" customHeight="1" hidden="1">
      <c r="A669" s="108">
        <v>411100</v>
      </c>
      <c r="B669" s="73" t="s">
        <v>371</v>
      </c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193"/>
      <c r="P669" s="193"/>
      <c r="Q669" s="87"/>
      <c r="R669" s="87"/>
      <c r="S669" s="87"/>
      <c r="T669" s="87"/>
      <c r="U669" s="87"/>
      <c r="V669" s="87"/>
      <c r="W669" s="87"/>
      <c r="X669" s="110">
        <f t="shared" si="170"/>
        <v>0</v>
      </c>
    </row>
    <row r="670" spans="1:24" ht="21" customHeight="1">
      <c r="A670" s="108">
        <v>411300</v>
      </c>
      <c r="B670" s="73" t="s">
        <v>450</v>
      </c>
      <c r="C670" s="87"/>
      <c r="D670" s="87"/>
      <c r="E670" s="87"/>
      <c r="F670" s="87"/>
      <c r="G670" s="87"/>
      <c r="H670" s="87"/>
      <c r="I670" s="87"/>
      <c r="J670" s="87"/>
      <c r="K670" s="87"/>
      <c r="L670" s="87">
        <v>24900</v>
      </c>
      <c r="M670" s="87"/>
      <c r="N670" s="87"/>
      <c r="O670" s="193"/>
      <c r="P670" s="193"/>
      <c r="Q670" s="87"/>
      <c r="R670" s="87"/>
      <c r="S670" s="87"/>
      <c r="T670" s="87"/>
      <c r="U670" s="87"/>
      <c r="V670" s="87"/>
      <c r="W670" s="87"/>
      <c r="X670" s="110">
        <f t="shared" si="170"/>
        <v>24900</v>
      </c>
    </row>
    <row r="671" spans="1:24" ht="21" customHeight="1">
      <c r="A671" s="108">
        <v>411600</v>
      </c>
      <c r="B671" s="73" t="s">
        <v>315</v>
      </c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192"/>
      <c r="P671" s="192"/>
      <c r="Q671" s="76"/>
      <c r="R671" s="76"/>
      <c r="S671" s="76"/>
      <c r="T671" s="76"/>
      <c r="U671" s="76"/>
      <c r="V671" s="76"/>
      <c r="W671" s="76"/>
      <c r="X671" s="110">
        <f>SUM(C671:W671)</f>
        <v>0</v>
      </c>
    </row>
    <row r="672" spans="1:25" ht="21" customHeight="1">
      <c r="A672" s="108">
        <v>411800</v>
      </c>
      <c r="B672" s="73" t="s">
        <v>265</v>
      </c>
      <c r="C672" s="76">
        <f>6500+6000</f>
        <v>12500</v>
      </c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192"/>
      <c r="P672" s="192"/>
      <c r="Q672" s="76"/>
      <c r="R672" s="76"/>
      <c r="S672" s="76"/>
      <c r="T672" s="76"/>
      <c r="U672" s="76"/>
      <c r="V672" s="76">
        <v>0</v>
      </c>
      <c r="W672" s="76"/>
      <c r="X672" s="110">
        <f>SUM(C672:W672)</f>
        <v>12500</v>
      </c>
      <c r="Y672" s="106">
        <v>96200</v>
      </c>
    </row>
    <row r="673" spans="1:25" ht="21" customHeight="1">
      <c r="A673" s="490" t="s">
        <v>230</v>
      </c>
      <c r="B673" s="491"/>
      <c r="C673" s="110">
        <f>SUM(C659:C672)</f>
        <v>12500</v>
      </c>
      <c r="D673" s="110">
        <f aca="true" t="shared" si="171" ref="D673:O673">SUM(D659:D672)</f>
        <v>0</v>
      </c>
      <c r="E673" s="110">
        <f t="shared" si="171"/>
        <v>0</v>
      </c>
      <c r="F673" s="110">
        <f t="shared" si="171"/>
        <v>0</v>
      </c>
      <c r="G673" s="110">
        <f t="shared" si="171"/>
        <v>0</v>
      </c>
      <c r="H673" s="110">
        <f t="shared" si="171"/>
        <v>0</v>
      </c>
      <c r="I673" s="110">
        <f t="shared" si="171"/>
        <v>0</v>
      </c>
      <c r="J673" s="110">
        <f t="shared" si="171"/>
        <v>0</v>
      </c>
      <c r="K673" s="110">
        <f t="shared" si="171"/>
        <v>0</v>
      </c>
      <c r="L673" s="110">
        <f t="shared" si="171"/>
        <v>34700</v>
      </c>
      <c r="M673" s="110">
        <f t="shared" si="171"/>
        <v>0</v>
      </c>
      <c r="N673" s="110">
        <f t="shared" si="171"/>
        <v>0</v>
      </c>
      <c r="O673" s="110">
        <f t="shared" si="171"/>
        <v>0</v>
      </c>
      <c r="P673" s="194">
        <f>SUM(P659:P672)</f>
        <v>0</v>
      </c>
      <c r="Q673" s="110">
        <f>SUM(Q659:Q672)</f>
        <v>0</v>
      </c>
      <c r="R673" s="110">
        <f>SUM(R659:R672)</f>
        <v>0</v>
      </c>
      <c r="S673" s="110"/>
      <c r="T673" s="110">
        <f>SUM(T659:T672)</f>
        <v>0</v>
      </c>
      <c r="U673" s="110">
        <f>SUM(U659:U672)</f>
        <v>0</v>
      </c>
      <c r="V673" s="110">
        <f>SUM(V659:V672)</f>
        <v>49000</v>
      </c>
      <c r="W673" s="110">
        <f>SUM(W659:W672)</f>
        <v>0</v>
      </c>
      <c r="X673" s="110">
        <f>SUM(C673:W673)</f>
        <v>96200</v>
      </c>
      <c r="Y673" s="106">
        <f>+X673-Y672</f>
        <v>0</v>
      </c>
    </row>
    <row r="674" spans="1:24" ht="21" customHeight="1">
      <c r="A674" s="492" t="s">
        <v>231</v>
      </c>
      <c r="B674" s="493"/>
      <c r="C674" s="114">
        <f>+C673+C558</f>
        <v>158420</v>
      </c>
      <c r="D674" s="114">
        <f aca="true" t="shared" si="172" ref="D674:X674">+D673+D558</f>
        <v>0</v>
      </c>
      <c r="E674" s="114">
        <f t="shared" si="172"/>
        <v>0</v>
      </c>
      <c r="F674" s="114">
        <f t="shared" si="172"/>
        <v>0</v>
      </c>
      <c r="G674" s="114">
        <f t="shared" si="172"/>
        <v>0</v>
      </c>
      <c r="H674" s="114">
        <f t="shared" si="172"/>
        <v>0</v>
      </c>
      <c r="I674" s="114">
        <f t="shared" si="172"/>
        <v>0</v>
      </c>
      <c r="J674" s="114">
        <f t="shared" si="172"/>
        <v>0</v>
      </c>
      <c r="K674" s="114">
        <f t="shared" si="172"/>
        <v>0</v>
      </c>
      <c r="L674" s="114">
        <f t="shared" si="172"/>
        <v>47860</v>
      </c>
      <c r="M674" s="114">
        <f t="shared" si="172"/>
        <v>0</v>
      </c>
      <c r="N674" s="114">
        <f t="shared" si="172"/>
        <v>91950</v>
      </c>
      <c r="O674" s="114">
        <f t="shared" si="172"/>
        <v>0</v>
      </c>
      <c r="P674" s="114">
        <f t="shared" si="172"/>
        <v>0</v>
      </c>
      <c r="Q674" s="114">
        <f t="shared" si="172"/>
        <v>0</v>
      </c>
      <c r="R674" s="114">
        <f t="shared" si="172"/>
        <v>0</v>
      </c>
      <c r="S674" s="114">
        <f t="shared" si="172"/>
        <v>0</v>
      </c>
      <c r="T674" s="114">
        <f t="shared" si="172"/>
        <v>0</v>
      </c>
      <c r="U674" s="114">
        <f t="shared" si="172"/>
        <v>0</v>
      </c>
      <c r="V674" s="114">
        <f t="shared" si="172"/>
        <v>49000</v>
      </c>
      <c r="W674" s="114">
        <f t="shared" si="172"/>
        <v>0</v>
      </c>
      <c r="X674" s="114">
        <f t="shared" si="172"/>
        <v>347230</v>
      </c>
    </row>
    <row r="675" spans="1:24" ht="21" customHeight="1">
      <c r="A675" s="497" t="s">
        <v>194</v>
      </c>
      <c r="B675" s="497"/>
      <c r="C675" s="496" t="s">
        <v>196</v>
      </c>
      <c r="D675" s="496"/>
      <c r="E675" s="499" t="s">
        <v>199</v>
      </c>
      <c r="F675" s="500"/>
      <c r="G675" s="496" t="s">
        <v>201</v>
      </c>
      <c r="H675" s="497"/>
      <c r="I675" s="499" t="s">
        <v>215</v>
      </c>
      <c r="J675" s="500"/>
      <c r="K675" s="379" t="s">
        <v>216</v>
      </c>
      <c r="L675" s="499" t="s">
        <v>217</v>
      </c>
      <c r="M675" s="501"/>
      <c r="N675" s="500"/>
      <c r="O675" s="499" t="s">
        <v>218</v>
      </c>
      <c r="P675" s="500"/>
      <c r="Q675" s="499" t="s">
        <v>219</v>
      </c>
      <c r="R675" s="501"/>
      <c r="S675" s="500"/>
      <c r="T675" s="496" t="s">
        <v>220</v>
      </c>
      <c r="U675" s="497"/>
      <c r="V675" s="379" t="s">
        <v>284</v>
      </c>
      <c r="W675" s="379" t="s">
        <v>221</v>
      </c>
      <c r="X675" s="498" t="s">
        <v>17</v>
      </c>
    </row>
    <row r="676" spans="1:24" ht="21" customHeight="1">
      <c r="A676" s="497" t="s">
        <v>195</v>
      </c>
      <c r="B676" s="497"/>
      <c r="C676" s="379" t="s">
        <v>197</v>
      </c>
      <c r="D676" s="379" t="s">
        <v>198</v>
      </c>
      <c r="E676" s="379" t="s">
        <v>200</v>
      </c>
      <c r="F676" s="379" t="s">
        <v>288</v>
      </c>
      <c r="G676" s="379" t="s">
        <v>202</v>
      </c>
      <c r="H676" s="379" t="s">
        <v>203</v>
      </c>
      <c r="I676" s="379" t="s">
        <v>204</v>
      </c>
      <c r="J676" s="379" t="s">
        <v>205</v>
      </c>
      <c r="K676" s="379" t="s">
        <v>206</v>
      </c>
      <c r="L676" s="379" t="s">
        <v>207</v>
      </c>
      <c r="M676" s="379" t="s">
        <v>208</v>
      </c>
      <c r="N676" s="379" t="s">
        <v>334</v>
      </c>
      <c r="O676" s="380" t="s">
        <v>471</v>
      </c>
      <c r="P676" s="380" t="s">
        <v>209</v>
      </c>
      <c r="Q676" s="379" t="s">
        <v>210</v>
      </c>
      <c r="R676" s="379" t="s">
        <v>211</v>
      </c>
      <c r="S676" s="379" t="s">
        <v>290</v>
      </c>
      <c r="T676" s="379" t="s">
        <v>212</v>
      </c>
      <c r="U676" s="379" t="s">
        <v>213</v>
      </c>
      <c r="V676" s="379" t="s">
        <v>285</v>
      </c>
      <c r="W676" s="379" t="s">
        <v>214</v>
      </c>
      <c r="X676" s="498"/>
    </row>
    <row r="677" spans="1:24" ht="21" customHeight="1">
      <c r="A677" s="488" t="s">
        <v>277</v>
      </c>
      <c r="B677" s="489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95"/>
      <c r="P677" s="195"/>
      <c r="Q677" s="115"/>
      <c r="R677" s="115"/>
      <c r="S677" s="115"/>
      <c r="T677" s="115"/>
      <c r="U677" s="115"/>
      <c r="V677" s="115"/>
      <c r="W677" s="115"/>
      <c r="X677" s="116">
        <f>SUM(C677:W677)</f>
        <v>0</v>
      </c>
    </row>
    <row r="678" spans="1:24" ht="21" customHeight="1">
      <c r="A678" s="108">
        <v>429000</v>
      </c>
      <c r="B678" s="109" t="s">
        <v>10</v>
      </c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192"/>
      <c r="P678" s="192"/>
      <c r="Q678" s="76"/>
      <c r="R678" s="76"/>
      <c r="S678" s="76"/>
      <c r="T678" s="76"/>
      <c r="U678" s="76"/>
      <c r="V678" s="76"/>
      <c r="W678" s="76"/>
      <c r="X678" s="110">
        <f>SUM(C678:W678)</f>
        <v>0</v>
      </c>
    </row>
    <row r="679" spans="1:24" ht="21" customHeight="1">
      <c r="A679" s="111">
        <v>421000</v>
      </c>
      <c r="B679" s="112" t="s">
        <v>281</v>
      </c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>
        <v>85000</v>
      </c>
      <c r="N679" s="87"/>
      <c r="O679" s="193"/>
      <c r="P679" s="193"/>
      <c r="Q679" s="87"/>
      <c r="R679" s="87"/>
      <c r="S679" s="87"/>
      <c r="T679" s="87"/>
      <c r="U679" s="87"/>
      <c r="V679" s="87">
        <v>48900</v>
      </c>
      <c r="W679" s="87"/>
      <c r="X679" s="113">
        <f>SUM(C679:W679)</f>
        <v>133900</v>
      </c>
    </row>
    <row r="680" spans="1:24" ht="21" customHeight="1">
      <c r="A680" s="490" t="s">
        <v>230</v>
      </c>
      <c r="B680" s="491"/>
      <c r="C680" s="110">
        <f>SUM(C678:C679)</f>
        <v>0</v>
      </c>
      <c r="D680" s="110">
        <f aca="true" t="shared" si="173" ref="D680:V680">SUM(D678:D679)</f>
        <v>0</v>
      </c>
      <c r="E680" s="110">
        <f t="shared" si="173"/>
        <v>0</v>
      </c>
      <c r="F680" s="110">
        <f t="shared" si="173"/>
        <v>0</v>
      </c>
      <c r="G680" s="110">
        <f t="shared" si="173"/>
        <v>0</v>
      </c>
      <c r="H680" s="110">
        <f t="shared" si="173"/>
        <v>0</v>
      </c>
      <c r="I680" s="110">
        <f t="shared" si="173"/>
        <v>0</v>
      </c>
      <c r="J680" s="110">
        <f t="shared" si="173"/>
        <v>0</v>
      </c>
      <c r="K680" s="110">
        <f t="shared" si="173"/>
        <v>0</v>
      </c>
      <c r="L680" s="110">
        <f t="shared" si="173"/>
        <v>0</v>
      </c>
      <c r="M680" s="110">
        <f t="shared" si="173"/>
        <v>85000</v>
      </c>
      <c r="N680" s="110">
        <f t="shared" si="173"/>
        <v>0</v>
      </c>
      <c r="O680" s="110">
        <f t="shared" si="173"/>
        <v>0</v>
      </c>
      <c r="P680" s="110">
        <f t="shared" si="173"/>
        <v>0</v>
      </c>
      <c r="Q680" s="110">
        <f t="shared" si="173"/>
        <v>0</v>
      </c>
      <c r="R680" s="110">
        <f t="shared" si="173"/>
        <v>0</v>
      </c>
      <c r="S680" s="110">
        <f t="shared" si="173"/>
        <v>0</v>
      </c>
      <c r="T680" s="110">
        <f t="shared" si="173"/>
        <v>0</v>
      </c>
      <c r="U680" s="110">
        <f t="shared" si="173"/>
        <v>0</v>
      </c>
      <c r="V680" s="110">
        <f t="shared" si="173"/>
        <v>48900</v>
      </c>
      <c r="W680" s="110">
        <f>SUM(W678:W679)</f>
        <v>0</v>
      </c>
      <c r="X680" s="110">
        <f>SUM(C680:W680)</f>
        <v>133900</v>
      </c>
    </row>
    <row r="681" spans="1:24" ht="21" customHeight="1">
      <c r="A681" s="492" t="s">
        <v>231</v>
      </c>
      <c r="B681" s="493"/>
      <c r="C681" s="114">
        <f>+C680+C565</f>
        <v>0</v>
      </c>
      <c r="D681" s="114">
        <f aca="true" t="shared" si="174" ref="D681:X681">+D680+D565</f>
        <v>0</v>
      </c>
      <c r="E681" s="114">
        <f t="shared" si="174"/>
        <v>0</v>
      </c>
      <c r="F681" s="114">
        <f t="shared" si="174"/>
        <v>0</v>
      </c>
      <c r="G681" s="114">
        <f t="shared" si="174"/>
        <v>6850</v>
      </c>
      <c r="H681" s="114">
        <f t="shared" si="174"/>
        <v>0</v>
      </c>
      <c r="I681" s="114">
        <f t="shared" si="174"/>
        <v>0</v>
      </c>
      <c r="J681" s="114">
        <f t="shared" si="174"/>
        <v>0</v>
      </c>
      <c r="K681" s="114">
        <f t="shared" si="174"/>
        <v>0</v>
      </c>
      <c r="L681" s="114">
        <f t="shared" si="174"/>
        <v>0</v>
      </c>
      <c r="M681" s="114">
        <f t="shared" si="174"/>
        <v>202000</v>
      </c>
      <c r="N681" s="114">
        <f t="shared" si="174"/>
        <v>0</v>
      </c>
      <c r="O681" s="114">
        <f t="shared" si="174"/>
        <v>0</v>
      </c>
      <c r="P681" s="114">
        <f t="shared" si="174"/>
        <v>0</v>
      </c>
      <c r="Q681" s="114">
        <f t="shared" si="174"/>
        <v>0</v>
      </c>
      <c r="R681" s="114">
        <f t="shared" si="174"/>
        <v>0</v>
      </c>
      <c r="S681" s="114">
        <f t="shared" si="174"/>
        <v>0</v>
      </c>
      <c r="T681" s="114">
        <f t="shared" si="174"/>
        <v>0</v>
      </c>
      <c r="U681" s="114">
        <f t="shared" si="174"/>
        <v>0</v>
      </c>
      <c r="V681" s="114">
        <f t="shared" si="174"/>
        <v>48900</v>
      </c>
      <c r="W681" s="114">
        <f t="shared" si="174"/>
        <v>0</v>
      </c>
      <c r="X681" s="114">
        <f t="shared" si="174"/>
        <v>257750</v>
      </c>
    </row>
    <row r="682" spans="1:24" ht="21" customHeight="1">
      <c r="A682" s="488" t="s">
        <v>278</v>
      </c>
      <c r="B682" s="489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95"/>
      <c r="P682" s="195"/>
      <c r="Q682" s="115"/>
      <c r="R682" s="115"/>
      <c r="S682" s="115"/>
      <c r="T682" s="115"/>
      <c r="U682" s="115"/>
      <c r="V682" s="115"/>
      <c r="W682" s="115"/>
      <c r="X682" s="116">
        <f aca="true" t="shared" si="175" ref="X682:X687">SUM(C682:W682)</f>
        <v>0</v>
      </c>
    </row>
    <row r="683" spans="1:24" ht="21" customHeight="1">
      <c r="A683" s="108">
        <v>610100</v>
      </c>
      <c r="B683" s="117" t="s">
        <v>280</v>
      </c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192"/>
      <c r="P683" s="192"/>
      <c r="Q683" s="76"/>
      <c r="R683" s="76"/>
      <c r="S683" s="76"/>
      <c r="T683" s="76"/>
      <c r="U683" s="76"/>
      <c r="V683" s="76"/>
      <c r="W683" s="76"/>
      <c r="X683" s="110">
        <f t="shared" si="175"/>
        <v>0</v>
      </c>
    </row>
    <row r="684" spans="1:24" ht="21" customHeight="1">
      <c r="A684" s="108">
        <v>610200</v>
      </c>
      <c r="B684" s="109" t="s">
        <v>266</v>
      </c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192"/>
      <c r="P684" s="192"/>
      <c r="Q684" s="76"/>
      <c r="R684" s="76"/>
      <c r="S684" s="76"/>
      <c r="T684" s="76"/>
      <c r="U684" s="76"/>
      <c r="V684" s="76"/>
      <c r="W684" s="76"/>
      <c r="X684" s="110">
        <f t="shared" si="175"/>
        <v>0</v>
      </c>
    </row>
    <row r="685" spans="1:24" ht="21" customHeight="1">
      <c r="A685" s="111">
        <v>610300</v>
      </c>
      <c r="B685" s="112" t="s">
        <v>390</v>
      </c>
      <c r="C685" s="87"/>
      <c r="D685" s="87"/>
      <c r="E685" s="87"/>
      <c r="F685" s="87"/>
      <c r="G685" s="87"/>
      <c r="H685" s="87"/>
      <c r="I685" s="87"/>
      <c r="J685" s="87">
        <v>240000</v>
      </c>
      <c r="K685" s="87"/>
      <c r="L685" s="87"/>
      <c r="M685" s="87"/>
      <c r="N685" s="87"/>
      <c r="O685" s="193"/>
      <c r="P685" s="193"/>
      <c r="Q685" s="87"/>
      <c r="R685" s="87">
        <f>21000+7000</f>
        <v>28000</v>
      </c>
      <c r="S685" s="87"/>
      <c r="T685" s="87"/>
      <c r="U685" s="87"/>
      <c r="V685" s="87"/>
      <c r="W685" s="87"/>
      <c r="X685" s="110">
        <f t="shared" si="175"/>
        <v>268000</v>
      </c>
    </row>
    <row r="686" spans="1:24" ht="21" customHeight="1">
      <c r="A686" s="111">
        <v>610400</v>
      </c>
      <c r="B686" s="112" t="s">
        <v>279</v>
      </c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193"/>
      <c r="P686" s="193"/>
      <c r="Q686" s="87"/>
      <c r="R686" s="87"/>
      <c r="S686" s="87"/>
      <c r="T686" s="87"/>
      <c r="U686" s="87"/>
      <c r="V686" s="87"/>
      <c r="W686" s="87"/>
      <c r="X686" s="113">
        <f t="shared" si="175"/>
        <v>0</v>
      </c>
    </row>
    <row r="687" spans="1:24" ht="21" customHeight="1">
      <c r="A687" s="490" t="s">
        <v>230</v>
      </c>
      <c r="B687" s="491"/>
      <c r="C687" s="110">
        <f>SUM(C683:C686)</f>
        <v>0</v>
      </c>
      <c r="D687" s="110">
        <f aca="true" t="shared" si="176" ref="D687:S687">SUM(D683:D686)</f>
        <v>0</v>
      </c>
      <c r="E687" s="110">
        <f t="shared" si="176"/>
        <v>0</v>
      </c>
      <c r="F687" s="110">
        <f t="shared" si="176"/>
        <v>0</v>
      </c>
      <c r="G687" s="110">
        <f t="shared" si="176"/>
        <v>0</v>
      </c>
      <c r="H687" s="110">
        <f t="shared" si="176"/>
        <v>0</v>
      </c>
      <c r="I687" s="110">
        <f t="shared" si="176"/>
        <v>0</v>
      </c>
      <c r="J687" s="110">
        <f t="shared" si="176"/>
        <v>240000</v>
      </c>
      <c r="K687" s="110">
        <f t="shared" si="176"/>
        <v>0</v>
      </c>
      <c r="L687" s="110">
        <f t="shared" si="176"/>
        <v>0</v>
      </c>
      <c r="M687" s="110">
        <f t="shared" si="176"/>
        <v>0</v>
      </c>
      <c r="N687" s="110">
        <f t="shared" si="176"/>
        <v>0</v>
      </c>
      <c r="O687" s="110">
        <f t="shared" si="176"/>
        <v>0</v>
      </c>
      <c r="P687" s="110">
        <f t="shared" si="176"/>
        <v>0</v>
      </c>
      <c r="Q687" s="110">
        <f t="shared" si="176"/>
        <v>0</v>
      </c>
      <c r="R687" s="110">
        <f t="shared" si="176"/>
        <v>28000</v>
      </c>
      <c r="S687" s="110">
        <f t="shared" si="176"/>
        <v>0</v>
      </c>
      <c r="T687" s="110">
        <f>SUM(T683:T686)</f>
        <v>0</v>
      </c>
      <c r="U687" s="110">
        <f>SUM(U683:U686)</f>
        <v>0</v>
      </c>
      <c r="V687" s="110">
        <f>SUM(V683:V686)</f>
        <v>0</v>
      </c>
      <c r="W687" s="110">
        <f>SUM(W683:W686)</f>
        <v>0</v>
      </c>
      <c r="X687" s="110">
        <f t="shared" si="175"/>
        <v>268000</v>
      </c>
    </row>
    <row r="688" spans="1:24" ht="21" customHeight="1">
      <c r="A688" s="492" t="s">
        <v>231</v>
      </c>
      <c r="B688" s="493"/>
      <c r="C688" s="114">
        <f>+C687+C572</f>
        <v>20000</v>
      </c>
      <c r="D688" s="114">
        <f aca="true" t="shared" si="177" ref="D688:X688">+D687+D572</f>
        <v>0</v>
      </c>
      <c r="E688" s="114">
        <f t="shared" si="177"/>
        <v>0</v>
      </c>
      <c r="F688" s="114">
        <f t="shared" si="177"/>
        <v>0</v>
      </c>
      <c r="G688" s="114">
        <f t="shared" si="177"/>
        <v>0</v>
      </c>
      <c r="H688" s="114">
        <f t="shared" si="177"/>
        <v>1888000</v>
      </c>
      <c r="I688" s="114">
        <f t="shared" si="177"/>
        <v>0</v>
      </c>
      <c r="J688" s="114">
        <f t="shared" si="177"/>
        <v>240000</v>
      </c>
      <c r="K688" s="114">
        <f t="shared" si="177"/>
        <v>0</v>
      </c>
      <c r="L688" s="114">
        <f t="shared" si="177"/>
        <v>0</v>
      </c>
      <c r="M688" s="114">
        <f t="shared" si="177"/>
        <v>0</v>
      </c>
      <c r="N688" s="114">
        <f t="shared" si="177"/>
        <v>0</v>
      </c>
      <c r="O688" s="114">
        <f t="shared" si="177"/>
        <v>0</v>
      </c>
      <c r="P688" s="114">
        <f t="shared" si="177"/>
        <v>10000</v>
      </c>
      <c r="Q688" s="114">
        <f t="shared" si="177"/>
        <v>0</v>
      </c>
      <c r="R688" s="114">
        <f t="shared" si="177"/>
        <v>79000</v>
      </c>
      <c r="S688" s="114">
        <f t="shared" si="177"/>
        <v>0</v>
      </c>
      <c r="T688" s="114">
        <f t="shared" si="177"/>
        <v>0</v>
      </c>
      <c r="U688" s="114">
        <f t="shared" si="177"/>
        <v>0</v>
      </c>
      <c r="V688" s="114">
        <f t="shared" si="177"/>
        <v>0</v>
      </c>
      <c r="W688" s="114">
        <f t="shared" si="177"/>
        <v>0</v>
      </c>
      <c r="X688" s="114">
        <f t="shared" si="177"/>
        <v>2237000</v>
      </c>
    </row>
    <row r="689" spans="1:24" ht="21" customHeight="1">
      <c r="A689" s="488" t="s">
        <v>282</v>
      </c>
      <c r="B689" s="489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95"/>
      <c r="P689" s="195"/>
      <c r="Q689" s="115"/>
      <c r="R689" s="115"/>
      <c r="S689" s="115"/>
      <c r="T689" s="115"/>
      <c r="U689" s="115"/>
      <c r="V689" s="115"/>
      <c r="W689" s="115"/>
      <c r="X689" s="116">
        <f>SUM(C689:W689)</f>
        <v>0</v>
      </c>
    </row>
    <row r="690" spans="1:24" ht="21" customHeight="1">
      <c r="A690" s="108">
        <v>551000</v>
      </c>
      <c r="B690" s="109" t="s">
        <v>12</v>
      </c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192"/>
      <c r="P690" s="192"/>
      <c r="Q690" s="76"/>
      <c r="R690" s="76"/>
      <c r="S690" s="76"/>
      <c r="T690" s="76"/>
      <c r="U690" s="76"/>
      <c r="V690" s="76"/>
      <c r="W690" s="76"/>
      <c r="X690" s="110">
        <f>SUM(C690:W690)</f>
        <v>0</v>
      </c>
    </row>
    <row r="691" spans="1:24" ht="21" customHeight="1">
      <c r="A691" s="111">
        <v>510100</v>
      </c>
      <c r="B691" s="112" t="s">
        <v>283</v>
      </c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193"/>
      <c r="P691" s="193"/>
      <c r="Q691" s="87"/>
      <c r="R691" s="87"/>
      <c r="S691" s="87"/>
      <c r="T691" s="87"/>
      <c r="U691" s="87"/>
      <c r="V691" s="87"/>
      <c r="W691" s="87"/>
      <c r="X691" s="113">
        <f>SUM(C691:W691)</f>
        <v>0</v>
      </c>
    </row>
    <row r="692" spans="1:24" ht="21" customHeight="1">
      <c r="A692" s="490" t="s">
        <v>230</v>
      </c>
      <c r="B692" s="491"/>
      <c r="C692" s="110">
        <f>SUM(C690:C691)</f>
        <v>0</v>
      </c>
      <c r="D692" s="110">
        <f aca="true" t="shared" si="178" ref="D692:X692">SUM(D690:D691)</f>
        <v>0</v>
      </c>
      <c r="E692" s="110">
        <f t="shared" si="178"/>
        <v>0</v>
      </c>
      <c r="F692" s="110">
        <f t="shared" si="178"/>
        <v>0</v>
      </c>
      <c r="G692" s="110">
        <f t="shared" si="178"/>
        <v>0</v>
      </c>
      <c r="H692" s="110">
        <f t="shared" si="178"/>
        <v>0</v>
      </c>
      <c r="I692" s="110">
        <f t="shared" si="178"/>
        <v>0</v>
      </c>
      <c r="J692" s="110">
        <f t="shared" si="178"/>
        <v>0</v>
      </c>
      <c r="K692" s="110">
        <f t="shared" si="178"/>
        <v>0</v>
      </c>
      <c r="L692" s="110">
        <f t="shared" si="178"/>
        <v>0</v>
      </c>
      <c r="M692" s="110">
        <f t="shared" si="178"/>
        <v>0</v>
      </c>
      <c r="N692" s="110">
        <f t="shared" si="178"/>
        <v>0</v>
      </c>
      <c r="O692" s="110">
        <f t="shared" si="178"/>
        <v>0</v>
      </c>
      <c r="P692" s="110">
        <f t="shared" si="178"/>
        <v>0</v>
      </c>
      <c r="Q692" s="110">
        <f t="shared" si="178"/>
        <v>0</v>
      </c>
      <c r="R692" s="110">
        <f t="shared" si="178"/>
        <v>0</v>
      </c>
      <c r="S692" s="110">
        <f t="shared" si="178"/>
        <v>0</v>
      </c>
      <c r="T692" s="110">
        <f t="shared" si="178"/>
        <v>0</v>
      </c>
      <c r="U692" s="110">
        <f t="shared" si="178"/>
        <v>0</v>
      </c>
      <c r="V692" s="110">
        <f t="shared" si="178"/>
        <v>0</v>
      </c>
      <c r="W692" s="110">
        <f t="shared" si="178"/>
        <v>0</v>
      </c>
      <c r="X692" s="110">
        <f t="shared" si="178"/>
        <v>0</v>
      </c>
    </row>
    <row r="693" spans="1:24" ht="21" customHeight="1">
      <c r="A693" s="492" t="s">
        <v>231</v>
      </c>
      <c r="B693" s="493"/>
      <c r="C693" s="114">
        <f>+C692+C577</f>
        <v>0</v>
      </c>
      <c r="D693" s="114">
        <f aca="true" t="shared" si="179" ref="D693:X693">+D692+D577</f>
        <v>0</v>
      </c>
      <c r="E693" s="114">
        <f t="shared" si="179"/>
        <v>0</v>
      </c>
      <c r="F693" s="114">
        <f t="shared" si="179"/>
        <v>0</v>
      </c>
      <c r="G693" s="114">
        <f t="shared" si="179"/>
        <v>0</v>
      </c>
      <c r="H693" s="114">
        <f t="shared" si="179"/>
        <v>0</v>
      </c>
      <c r="I693" s="114">
        <f t="shared" si="179"/>
        <v>0</v>
      </c>
      <c r="J693" s="114">
        <f t="shared" si="179"/>
        <v>0</v>
      </c>
      <c r="K693" s="114">
        <f t="shared" si="179"/>
        <v>0</v>
      </c>
      <c r="L693" s="114">
        <f t="shared" si="179"/>
        <v>0</v>
      </c>
      <c r="M693" s="114">
        <f t="shared" si="179"/>
        <v>0</v>
      </c>
      <c r="N693" s="114">
        <f t="shared" si="179"/>
        <v>0</v>
      </c>
      <c r="O693" s="114">
        <f t="shared" si="179"/>
        <v>0</v>
      </c>
      <c r="P693" s="114">
        <f t="shared" si="179"/>
        <v>0</v>
      </c>
      <c r="Q693" s="114">
        <f t="shared" si="179"/>
        <v>0</v>
      </c>
      <c r="R693" s="114">
        <f t="shared" si="179"/>
        <v>0</v>
      </c>
      <c r="S693" s="114">
        <f t="shared" si="179"/>
        <v>0</v>
      </c>
      <c r="T693" s="114">
        <f t="shared" si="179"/>
        <v>0</v>
      </c>
      <c r="U693" s="114">
        <f t="shared" si="179"/>
        <v>0</v>
      </c>
      <c r="V693" s="114">
        <f t="shared" si="179"/>
        <v>0</v>
      </c>
      <c r="W693" s="114">
        <f t="shared" si="179"/>
        <v>0</v>
      </c>
      <c r="X693" s="114">
        <f t="shared" si="179"/>
        <v>0</v>
      </c>
    </row>
    <row r="694" spans="1:25" ht="21" customHeight="1">
      <c r="A694" s="494" t="s">
        <v>230</v>
      </c>
      <c r="B694" s="495"/>
      <c r="C694" s="49">
        <f aca="true" t="shared" si="180" ref="C694:W694">SUM(C594,C602,C614,C623,C630,C649,C656,C673,C680,C687,C692)</f>
        <v>680240.76</v>
      </c>
      <c r="D694" s="49">
        <f t="shared" si="180"/>
        <v>157235</v>
      </c>
      <c r="E694" s="49">
        <f t="shared" si="180"/>
        <v>31670</v>
      </c>
      <c r="F694" s="49">
        <f t="shared" si="180"/>
        <v>2500</v>
      </c>
      <c r="G694" s="49">
        <f t="shared" si="180"/>
        <v>46240</v>
      </c>
      <c r="H694" s="49">
        <f t="shared" si="180"/>
        <v>0</v>
      </c>
      <c r="I694" s="49">
        <f t="shared" si="180"/>
        <v>26760</v>
      </c>
      <c r="J694" s="49">
        <f t="shared" si="180"/>
        <v>262000</v>
      </c>
      <c r="K694" s="49">
        <f t="shared" si="180"/>
        <v>0</v>
      </c>
      <c r="L694" s="49">
        <f t="shared" si="180"/>
        <v>139530</v>
      </c>
      <c r="M694" s="49">
        <f t="shared" si="180"/>
        <v>85000</v>
      </c>
      <c r="N694" s="49">
        <f t="shared" si="180"/>
        <v>59651.25</v>
      </c>
      <c r="O694" s="49">
        <f t="shared" si="180"/>
        <v>35220</v>
      </c>
      <c r="P694" s="49">
        <f t="shared" si="180"/>
        <v>6540</v>
      </c>
      <c r="Q694" s="49">
        <f t="shared" si="180"/>
        <v>0</v>
      </c>
      <c r="R694" s="49">
        <f t="shared" si="180"/>
        <v>28000</v>
      </c>
      <c r="S694" s="49">
        <f t="shared" si="180"/>
        <v>66215</v>
      </c>
      <c r="T694" s="49">
        <f t="shared" si="180"/>
        <v>0</v>
      </c>
      <c r="U694" s="49">
        <f t="shared" si="180"/>
        <v>0</v>
      </c>
      <c r="V694" s="49">
        <f t="shared" si="180"/>
        <v>187752.16999999998</v>
      </c>
      <c r="W694" s="49">
        <f t="shared" si="180"/>
        <v>20671</v>
      </c>
      <c r="X694" s="49">
        <f>SUM(C694:W694)</f>
        <v>1835225.18</v>
      </c>
      <c r="Y694" s="106">
        <f>1812976.53+22248.65</f>
        <v>1835225.18</v>
      </c>
    </row>
    <row r="695" spans="1:25" s="370" customFormat="1" ht="21" customHeight="1">
      <c r="A695" s="507" t="s">
        <v>231</v>
      </c>
      <c r="B695" s="508"/>
      <c r="C695" s="368">
        <f>SUM(C595,C603,C615,C624,C631,C650,C657,C674,C681,C688,C693)</f>
        <v>4013792.8799999994</v>
      </c>
      <c r="D695" s="368">
        <f aca="true" t="shared" si="181" ref="D695:W695">SUM(D595,D603,D615,D624,D631,D650,D657,D674,D681,D688,D693)</f>
        <v>873800.03</v>
      </c>
      <c r="E695" s="368">
        <f t="shared" si="181"/>
        <v>144473</v>
      </c>
      <c r="F695" s="368">
        <f t="shared" si="181"/>
        <v>57367.4</v>
      </c>
      <c r="G695" s="368">
        <f t="shared" si="181"/>
        <v>301472</v>
      </c>
      <c r="H695" s="368">
        <f t="shared" si="181"/>
        <v>2378000</v>
      </c>
      <c r="I695" s="368">
        <f t="shared" si="181"/>
        <v>160560</v>
      </c>
      <c r="J695" s="368">
        <f t="shared" si="181"/>
        <v>349130</v>
      </c>
      <c r="K695" s="368">
        <f t="shared" si="181"/>
        <v>0</v>
      </c>
      <c r="L695" s="368">
        <f t="shared" si="181"/>
        <v>581011</v>
      </c>
      <c r="M695" s="368">
        <f t="shared" si="181"/>
        <v>202000</v>
      </c>
      <c r="N695" s="368">
        <f t="shared" si="181"/>
        <v>468962.5</v>
      </c>
      <c r="O695" s="368">
        <f t="shared" si="181"/>
        <v>255939</v>
      </c>
      <c r="P695" s="368">
        <f t="shared" si="181"/>
        <v>90030</v>
      </c>
      <c r="Q695" s="368">
        <f t="shared" si="181"/>
        <v>51710</v>
      </c>
      <c r="R695" s="368">
        <f t="shared" si="181"/>
        <v>229205</v>
      </c>
      <c r="S695" s="368">
        <f t="shared" si="181"/>
        <v>77215</v>
      </c>
      <c r="T695" s="368">
        <f t="shared" si="181"/>
        <v>0</v>
      </c>
      <c r="U695" s="368">
        <f t="shared" si="181"/>
        <v>24200</v>
      </c>
      <c r="V695" s="368">
        <f t="shared" si="181"/>
        <v>526658.5900000001</v>
      </c>
      <c r="W695" s="368">
        <f t="shared" si="181"/>
        <v>239158</v>
      </c>
      <c r="X695" s="368">
        <f>SUM(C695:W695)</f>
        <v>11024684.399999999</v>
      </c>
      <c r="Y695" s="369">
        <f>+X579</f>
        <v>9189459.22</v>
      </c>
    </row>
    <row r="696" spans="1:25" ht="21" customHeight="1">
      <c r="A696" s="502" t="s">
        <v>364</v>
      </c>
      <c r="B696" s="502"/>
      <c r="C696" s="502"/>
      <c r="D696" s="502"/>
      <c r="E696" s="502"/>
      <c r="F696" s="502"/>
      <c r="G696" s="502"/>
      <c r="H696" s="502"/>
      <c r="I696" s="502"/>
      <c r="J696" s="502"/>
      <c r="K696" s="502"/>
      <c r="L696" s="502"/>
      <c r="M696" s="502"/>
      <c r="N696" s="502"/>
      <c r="O696" s="503" t="str">
        <f>+A696</f>
        <v>เทศบาลตำบลเขาพระ อำเภอพิปูน จังหวัดนครศรีธรรมราช</v>
      </c>
      <c r="P696" s="503"/>
      <c r="Q696" s="503"/>
      <c r="R696" s="503"/>
      <c r="S696" s="503"/>
      <c r="T696" s="503"/>
      <c r="U696" s="503"/>
      <c r="V696" s="503"/>
      <c r="W696" s="503"/>
      <c r="X696" s="503"/>
      <c r="Y696" s="106">
        <f>+งบดุลบัญชี!AO117</f>
        <v>11024684.4</v>
      </c>
    </row>
    <row r="697" spans="1:25" ht="21" customHeight="1">
      <c r="A697" s="502" t="s">
        <v>193</v>
      </c>
      <c r="B697" s="502"/>
      <c r="C697" s="502"/>
      <c r="D697" s="502"/>
      <c r="E697" s="502"/>
      <c r="F697" s="502"/>
      <c r="G697" s="502"/>
      <c r="H697" s="502"/>
      <c r="I697" s="502"/>
      <c r="J697" s="502"/>
      <c r="K697" s="502"/>
      <c r="L697" s="502"/>
      <c r="M697" s="502"/>
      <c r="N697" s="502"/>
      <c r="O697" s="504" t="s">
        <v>193</v>
      </c>
      <c r="P697" s="504"/>
      <c r="Q697" s="504"/>
      <c r="R697" s="504"/>
      <c r="S697" s="504"/>
      <c r="T697" s="504"/>
      <c r="U697" s="504"/>
      <c r="V697" s="504"/>
      <c r="W697" s="504"/>
      <c r="X697" s="504"/>
      <c r="Y697" s="106">
        <f>+Y696-X695</f>
        <v>0</v>
      </c>
    </row>
    <row r="698" spans="1:24" ht="21" customHeight="1">
      <c r="A698" s="505" t="s">
        <v>572</v>
      </c>
      <c r="B698" s="505"/>
      <c r="C698" s="505"/>
      <c r="D698" s="505"/>
      <c r="E698" s="505"/>
      <c r="F698" s="505"/>
      <c r="G698" s="505"/>
      <c r="H698" s="505"/>
      <c r="I698" s="505"/>
      <c r="J698" s="505"/>
      <c r="K698" s="505"/>
      <c r="L698" s="505"/>
      <c r="M698" s="505"/>
      <c r="N698" s="505"/>
      <c r="O698" s="506" t="s">
        <v>572</v>
      </c>
      <c r="P698" s="506"/>
      <c r="Q698" s="506"/>
      <c r="R698" s="506"/>
      <c r="S698" s="506"/>
      <c r="T698" s="506"/>
      <c r="U698" s="506"/>
      <c r="V698" s="506"/>
      <c r="W698" s="506"/>
      <c r="X698" s="506"/>
    </row>
    <row r="699" spans="1:24" ht="21" customHeight="1">
      <c r="A699" s="497" t="s">
        <v>194</v>
      </c>
      <c r="B699" s="497"/>
      <c r="C699" s="496" t="s">
        <v>196</v>
      </c>
      <c r="D699" s="496"/>
      <c r="E699" s="499" t="s">
        <v>199</v>
      </c>
      <c r="F699" s="500"/>
      <c r="G699" s="496" t="s">
        <v>201</v>
      </c>
      <c r="H699" s="497"/>
      <c r="I699" s="499" t="s">
        <v>215</v>
      </c>
      <c r="J699" s="500"/>
      <c r="K699" s="392" t="s">
        <v>216</v>
      </c>
      <c r="L699" s="499" t="s">
        <v>217</v>
      </c>
      <c r="M699" s="501"/>
      <c r="N699" s="500"/>
      <c r="O699" s="499" t="s">
        <v>218</v>
      </c>
      <c r="P699" s="500"/>
      <c r="Q699" s="499" t="s">
        <v>219</v>
      </c>
      <c r="R699" s="501"/>
      <c r="S699" s="500"/>
      <c r="T699" s="496" t="s">
        <v>220</v>
      </c>
      <c r="U699" s="497"/>
      <c r="V699" s="392" t="s">
        <v>284</v>
      </c>
      <c r="W699" s="392" t="s">
        <v>221</v>
      </c>
      <c r="X699" s="498" t="s">
        <v>17</v>
      </c>
    </row>
    <row r="700" spans="1:24" ht="21" customHeight="1">
      <c r="A700" s="497" t="s">
        <v>195</v>
      </c>
      <c r="B700" s="497"/>
      <c r="C700" s="392" t="s">
        <v>197</v>
      </c>
      <c r="D700" s="392" t="s">
        <v>198</v>
      </c>
      <c r="E700" s="392" t="s">
        <v>200</v>
      </c>
      <c r="F700" s="392" t="s">
        <v>288</v>
      </c>
      <c r="G700" s="392" t="s">
        <v>202</v>
      </c>
      <c r="H700" s="392" t="s">
        <v>203</v>
      </c>
      <c r="I700" s="392" t="s">
        <v>204</v>
      </c>
      <c r="J700" s="392" t="s">
        <v>205</v>
      </c>
      <c r="K700" s="392" t="s">
        <v>206</v>
      </c>
      <c r="L700" s="392" t="s">
        <v>207</v>
      </c>
      <c r="M700" s="392" t="s">
        <v>208</v>
      </c>
      <c r="N700" s="392" t="s">
        <v>334</v>
      </c>
      <c r="O700" s="393" t="s">
        <v>471</v>
      </c>
      <c r="P700" s="393" t="s">
        <v>209</v>
      </c>
      <c r="Q700" s="392" t="s">
        <v>210</v>
      </c>
      <c r="R700" s="392" t="s">
        <v>211</v>
      </c>
      <c r="S700" s="392" t="s">
        <v>290</v>
      </c>
      <c r="T700" s="392" t="s">
        <v>212</v>
      </c>
      <c r="U700" s="392" t="s">
        <v>213</v>
      </c>
      <c r="V700" s="392" t="s">
        <v>285</v>
      </c>
      <c r="W700" s="392" t="s">
        <v>214</v>
      </c>
      <c r="X700" s="498"/>
    </row>
    <row r="701" spans="1:24" ht="21" customHeight="1">
      <c r="A701" s="488" t="s">
        <v>268</v>
      </c>
      <c r="B701" s="489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91"/>
      <c r="P701" s="191"/>
      <c r="Q701" s="107"/>
      <c r="R701" s="107"/>
      <c r="S701" s="107"/>
      <c r="T701" s="107"/>
      <c r="U701" s="107"/>
      <c r="V701" s="107"/>
      <c r="W701" s="107"/>
      <c r="X701" s="107"/>
    </row>
    <row r="702" spans="1:24" ht="21" customHeight="1">
      <c r="A702" s="108">
        <v>110300</v>
      </c>
      <c r="B702" s="109" t="s">
        <v>222</v>
      </c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192"/>
      <c r="P702" s="192"/>
      <c r="Q702" s="76"/>
      <c r="R702" s="76"/>
      <c r="S702" s="76"/>
      <c r="T702" s="76"/>
      <c r="U702" s="76"/>
      <c r="V702" s="76"/>
      <c r="W702" s="76">
        <f>11595+513</f>
        <v>12108</v>
      </c>
      <c r="X702" s="110">
        <f>SUM(C702:W702)</f>
        <v>12108</v>
      </c>
    </row>
    <row r="703" spans="1:24" ht="21" customHeight="1">
      <c r="A703" s="108">
        <v>110700</v>
      </c>
      <c r="B703" s="109" t="s">
        <v>123</v>
      </c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192"/>
      <c r="P703" s="192"/>
      <c r="Q703" s="76"/>
      <c r="R703" s="76"/>
      <c r="S703" s="76"/>
      <c r="T703" s="76"/>
      <c r="U703" s="76"/>
      <c r="V703" s="76"/>
      <c r="W703" s="76"/>
      <c r="X703" s="110">
        <f aca="true" t="shared" si="182" ref="X703:X708">SUM(C703:W703)</f>
        <v>0</v>
      </c>
    </row>
    <row r="704" spans="1:24" ht="21" customHeight="1">
      <c r="A704" s="108">
        <v>110800</v>
      </c>
      <c r="B704" s="109" t="s">
        <v>129</v>
      </c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192"/>
      <c r="P704" s="192"/>
      <c r="Q704" s="76"/>
      <c r="R704" s="76"/>
      <c r="S704" s="76"/>
      <c r="T704" s="76"/>
      <c r="U704" s="76"/>
      <c r="V704" s="76"/>
      <c r="W704" s="76"/>
      <c r="X704" s="110">
        <f t="shared" si="182"/>
        <v>0</v>
      </c>
    </row>
    <row r="705" spans="1:24" ht="21" customHeight="1">
      <c r="A705" s="108">
        <v>110900</v>
      </c>
      <c r="B705" s="109" t="s">
        <v>130</v>
      </c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192"/>
      <c r="P705" s="192"/>
      <c r="Q705" s="76"/>
      <c r="R705" s="76"/>
      <c r="S705" s="76"/>
      <c r="T705" s="76"/>
      <c r="U705" s="76"/>
      <c r="V705" s="76"/>
      <c r="W705" s="76">
        <v>8500</v>
      </c>
      <c r="X705" s="110">
        <f t="shared" si="182"/>
        <v>8500</v>
      </c>
    </row>
    <row r="706" spans="1:24" ht="21" customHeight="1">
      <c r="A706" s="108">
        <v>111000</v>
      </c>
      <c r="B706" s="109" t="s">
        <v>131</v>
      </c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192"/>
      <c r="P706" s="192"/>
      <c r="Q706" s="76"/>
      <c r="R706" s="76"/>
      <c r="S706" s="76"/>
      <c r="T706" s="76"/>
      <c r="U706" s="76"/>
      <c r="V706" s="76"/>
      <c r="W706" s="76">
        <f>23000+62458</f>
        <v>85458</v>
      </c>
      <c r="X706" s="110">
        <f t="shared" si="182"/>
        <v>85458</v>
      </c>
    </row>
    <row r="707" spans="1:24" ht="21" customHeight="1">
      <c r="A707" s="108">
        <v>111100</v>
      </c>
      <c r="B707" s="109" t="s">
        <v>224</v>
      </c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192"/>
      <c r="P707" s="192"/>
      <c r="Q707" s="76"/>
      <c r="R707" s="76"/>
      <c r="S707" s="76"/>
      <c r="T707" s="76"/>
      <c r="U707" s="76"/>
      <c r="V707" s="76"/>
      <c r="W707" s="76"/>
      <c r="X707" s="110">
        <f t="shared" si="182"/>
        <v>0</v>
      </c>
    </row>
    <row r="708" spans="1:24" ht="21" customHeight="1">
      <c r="A708" s="108">
        <v>111100</v>
      </c>
      <c r="B708" s="109" t="s">
        <v>451</v>
      </c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192"/>
      <c r="P708" s="192"/>
      <c r="Q708" s="76"/>
      <c r="R708" s="76"/>
      <c r="S708" s="76"/>
      <c r="T708" s="76"/>
      <c r="U708" s="76"/>
      <c r="V708" s="76"/>
      <c r="W708" s="76"/>
      <c r="X708" s="110">
        <f t="shared" si="182"/>
        <v>0</v>
      </c>
    </row>
    <row r="709" spans="1:24" ht="21" customHeight="1">
      <c r="A709" s="111">
        <v>120100</v>
      </c>
      <c r="B709" s="112" t="s">
        <v>223</v>
      </c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193"/>
      <c r="P709" s="193"/>
      <c r="Q709" s="87"/>
      <c r="R709" s="87"/>
      <c r="S709" s="87"/>
      <c r="T709" s="87"/>
      <c r="U709" s="87"/>
      <c r="V709" s="87"/>
      <c r="W709" s="87"/>
      <c r="X709" s="113">
        <f>SUM(C709:W709)</f>
        <v>0</v>
      </c>
    </row>
    <row r="710" spans="1:24" ht="21" customHeight="1">
      <c r="A710" s="490" t="s">
        <v>230</v>
      </c>
      <c r="B710" s="491"/>
      <c r="C710" s="110">
        <f>SUM(C702:C709)</f>
        <v>0</v>
      </c>
      <c r="D710" s="110">
        <f aca="true" t="shared" si="183" ref="D710:L710">SUM(D702:D709)</f>
        <v>0</v>
      </c>
      <c r="E710" s="110">
        <f t="shared" si="183"/>
        <v>0</v>
      </c>
      <c r="F710" s="110">
        <f t="shared" si="183"/>
        <v>0</v>
      </c>
      <c r="G710" s="110">
        <f t="shared" si="183"/>
        <v>0</v>
      </c>
      <c r="H710" s="110">
        <f t="shared" si="183"/>
        <v>0</v>
      </c>
      <c r="I710" s="110">
        <f t="shared" si="183"/>
        <v>0</v>
      </c>
      <c r="J710" s="110">
        <f t="shared" si="183"/>
        <v>0</v>
      </c>
      <c r="K710" s="110">
        <f t="shared" si="183"/>
        <v>0</v>
      </c>
      <c r="L710" s="110">
        <f t="shared" si="183"/>
        <v>0</v>
      </c>
      <c r="M710" s="110">
        <f>SUM(M702:M709)</f>
        <v>0</v>
      </c>
      <c r="N710" s="110">
        <f>SUM(N702:N709)</f>
        <v>0</v>
      </c>
      <c r="O710" s="110">
        <f>SUM(O702:O709)</f>
        <v>0</v>
      </c>
      <c r="P710" s="110">
        <f>SUM(P702:P709)</f>
        <v>0</v>
      </c>
      <c r="Q710" s="110">
        <f>SUM(Q702:Q709)</f>
        <v>0</v>
      </c>
      <c r="R710" s="110">
        <f>SUM(R702:R709)</f>
        <v>0</v>
      </c>
      <c r="S710" s="110"/>
      <c r="T710" s="110">
        <f>SUM(T702:T709)</f>
        <v>0</v>
      </c>
      <c r="U710" s="110">
        <f>SUM(U702:U709)</f>
        <v>0</v>
      </c>
      <c r="V710" s="110">
        <f>SUM(V702:V709)</f>
        <v>0</v>
      </c>
      <c r="W710" s="110">
        <f>SUM(W702:W709)</f>
        <v>106066</v>
      </c>
      <c r="X710" s="110">
        <f>SUM(C710:W710)</f>
        <v>106066</v>
      </c>
    </row>
    <row r="711" spans="1:24" ht="21" customHeight="1">
      <c r="A711" s="492" t="s">
        <v>231</v>
      </c>
      <c r="B711" s="493"/>
      <c r="C711" s="114">
        <f>+C710+C595</f>
        <v>0</v>
      </c>
      <c r="D711" s="114">
        <f aca="true" t="shared" si="184" ref="D711:X711">+D710+D595</f>
        <v>0</v>
      </c>
      <c r="E711" s="114">
        <f t="shared" si="184"/>
        <v>0</v>
      </c>
      <c r="F711" s="114">
        <f t="shared" si="184"/>
        <v>0</v>
      </c>
      <c r="G711" s="114">
        <f t="shared" si="184"/>
        <v>0</v>
      </c>
      <c r="H711" s="114">
        <f t="shared" si="184"/>
        <v>0</v>
      </c>
      <c r="I711" s="114">
        <f t="shared" si="184"/>
        <v>0</v>
      </c>
      <c r="J711" s="114">
        <f t="shared" si="184"/>
        <v>0</v>
      </c>
      <c r="K711" s="114">
        <f t="shared" si="184"/>
        <v>0</v>
      </c>
      <c r="L711" s="114">
        <f t="shared" si="184"/>
        <v>0</v>
      </c>
      <c r="M711" s="114">
        <f t="shared" si="184"/>
        <v>0</v>
      </c>
      <c r="N711" s="114">
        <f t="shared" si="184"/>
        <v>0</v>
      </c>
      <c r="O711" s="114">
        <f t="shared" si="184"/>
        <v>0</v>
      </c>
      <c r="P711" s="114">
        <f t="shared" si="184"/>
        <v>0</v>
      </c>
      <c r="Q711" s="114">
        <f t="shared" si="184"/>
        <v>0</v>
      </c>
      <c r="R711" s="114">
        <f t="shared" si="184"/>
        <v>0</v>
      </c>
      <c r="S711" s="114">
        <f t="shared" si="184"/>
        <v>0</v>
      </c>
      <c r="T711" s="114">
        <f t="shared" si="184"/>
        <v>0</v>
      </c>
      <c r="U711" s="114">
        <f t="shared" si="184"/>
        <v>0</v>
      </c>
      <c r="V711" s="114">
        <f t="shared" si="184"/>
        <v>0</v>
      </c>
      <c r="W711" s="114">
        <f t="shared" si="184"/>
        <v>345224</v>
      </c>
      <c r="X711" s="114">
        <f t="shared" si="184"/>
        <v>345224</v>
      </c>
    </row>
    <row r="712" spans="1:24" ht="21" customHeight="1">
      <c r="A712" s="488" t="s">
        <v>269</v>
      </c>
      <c r="B712" s="489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95"/>
      <c r="P712" s="195"/>
      <c r="Q712" s="115"/>
      <c r="R712" s="115"/>
      <c r="S712" s="115"/>
      <c r="T712" s="115"/>
      <c r="U712" s="115"/>
      <c r="V712" s="115"/>
      <c r="W712" s="115"/>
      <c r="X712" s="116">
        <f aca="true" t="shared" si="185" ref="X712:X717">SUM(C712:W712)</f>
        <v>0</v>
      </c>
    </row>
    <row r="713" spans="1:24" ht="21" customHeight="1">
      <c r="A713" s="108">
        <v>210100</v>
      </c>
      <c r="B713" s="73" t="s">
        <v>225</v>
      </c>
      <c r="C713" s="76">
        <v>57960</v>
      </c>
      <c r="D713" s="76">
        <v>0</v>
      </c>
      <c r="E713" s="76"/>
      <c r="F713" s="76"/>
      <c r="G713" s="76"/>
      <c r="H713" s="76"/>
      <c r="I713" s="76"/>
      <c r="J713" s="76"/>
      <c r="K713" s="76"/>
      <c r="L713" s="76">
        <v>0</v>
      </c>
      <c r="M713" s="76"/>
      <c r="N713" s="76"/>
      <c r="O713" s="192"/>
      <c r="P713" s="192"/>
      <c r="Q713" s="76"/>
      <c r="R713" s="76"/>
      <c r="S713" s="76"/>
      <c r="T713" s="76"/>
      <c r="U713" s="76"/>
      <c r="V713" s="76"/>
      <c r="W713" s="76"/>
      <c r="X713" s="110">
        <f t="shared" si="185"/>
        <v>57960</v>
      </c>
    </row>
    <row r="714" spans="1:24" ht="21" customHeight="1">
      <c r="A714" s="108">
        <v>210200</v>
      </c>
      <c r="B714" s="73" t="s">
        <v>229</v>
      </c>
      <c r="C714" s="76">
        <v>10000</v>
      </c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192"/>
      <c r="P714" s="192"/>
      <c r="Q714" s="76"/>
      <c r="R714" s="76"/>
      <c r="S714" s="76"/>
      <c r="T714" s="76"/>
      <c r="U714" s="76"/>
      <c r="V714" s="76"/>
      <c r="W714" s="76"/>
      <c r="X714" s="110">
        <f t="shared" si="185"/>
        <v>10000</v>
      </c>
    </row>
    <row r="715" spans="1:24" ht="21" customHeight="1">
      <c r="A715" s="108">
        <v>210300</v>
      </c>
      <c r="B715" s="73" t="s">
        <v>226</v>
      </c>
      <c r="C715" s="76">
        <v>10000</v>
      </c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192"/>
      <c r="P715" s="192"/>
      <c r="Q715" s="76"/>
      <c r="R715" s="76"/>
      <c r="S715" s="76"/>
      <c r="T715" s="76"/>
      <c r="U715" s="76"/>
      <c r="V715" s="76"/>
      <c r="W715" s="76"/>
      <c r="X715" s="110">
        <f t="shared" si="185"/>
        <v>10000</v>
      </c>
    </row>
    <row r="716" spans="1:24" ht="21" customHeight="1">
      <c r="A716" s="108">
        <v>210400</v>
      </c>
      <c r="B716" s="73" t="s">
        <v>227</v>
      </c>
      <c r="C716" s="76">
        <v>16560</v>
      </c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192"/>
      <c r="P716" s="192"/>
      <c r="Q716" s="76"/>
      <c r="R716" s="76"/>
      <c r="S716" s="76"/>
      <c r="T716" s="76"/>
      <c r="U716" s="76"/>
      <c r="V716" s="76"/>
      <c r="W716" s="76"/>
      <c r="X716" s="110">
        <f t="shared" si="185"/>
        <v>16560</v>
      </c>
    </row>
    <row r="717" spans="1:24" ht="21" customHeight="1">
      <c r="A717" s="111">
        <v>210600</v>
      </c>
      <c r="B717" s="74" t="s">
        <v>228</v>
      </c>
      <c r="C717" s="76">
        <v>124200</v>
      </c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193"/>
      <c r="P717" s="193"/>
      <c r="Q717" s="87"/>
      <c r="R717" s="87"/>
      <c r="S717" s="87"/>
      <c r="T717" s="87"/>
      <c r="U717" s="87"/>
      <c r="V717" s="87"/>
      <c r="W717" s="87"/>
      <c r="X717" s="113">
        <f t="shared" si="185"/>
        <v>124200</v>
      </c>
    </row>
    <row r="718" spans="1:24" ht="21" customHeight="1">
      <c r="A718" s="490" t="s">
        <v>230</v>
      </c>
      <c r="B718" s="491"/>
      <c r="C718" s="110">
        <f>SUM(C713:C717)</f>
        <v>218720</v>
      </c>
      <c r="D718" s="110">
        <f>SUM(D712:D717)</f>
        <v>0</v>
      </c>
      <c r="E718" s="110">
        <f>SUM(E712:E717)</f>
        <v>0</v>
      </c>
      <c r="F718" s="110">
        <f aca="true" t="shared" si="186" ref="F718:L718">SUM(F712:F717)</f>
        <v>0</v>
      </c>
      <c r="G718" s="110">
        <f t="shared" si="186"/>
        <v>0</v>
      </c>
      <c r="H718" s="110">
        <f t="shared" si="186"/>
        <v>0</v>
      </c>
      <c r="I718" s="110">
        <f t="shared" si="186"/>
        <v>0</v>
      </c>
      <c r="J718" s="110">
        <f t="shared" si="186"/>
        <v>0</v>
      </c>
      <c r="K718" s="110">
        <f t="shared" si="186"/>
        <v>0</v>
      </c>
      <c r="L718" s="110">
        <f t="shared" si="186"/>
        <v>0</v>
      </c>
      <c r="M718" s="110">
        <f>SUM(M712:M717)</f>
        <v>0</v>
      </c>
      <c r="N718" s="110">
        <f>SUM(N712:N717)</f>
        <v>0</v>
      </c>
      <c r="O718" s="110">
        <f>SUM(O712:O717)</f>
        <v>0</v>
      </c>
      <c r="P718" s="110">
        <f>SUM(P712:P717)</f>
        <v>0</v>
      </c>
      <c r="Q718" s="110">
        <f>SUM(Q712:Q717)</f>
        <v>0</v>
      </c>
      <c r="R718" s="110">
        <f>SUM(R712:R717)</f>
        <v>0</v>
      </c>
      <c r="S718" s="110"/>
      <c r="T718" s="110">
        <f>SUM(T712:T717)</f>
        <v>0</v>
      </c>
      <c r="U718" s="110">
        <f>SUM(U712:U717)</f>
        <v>0</v>
      </c>
      <c r="V718" s="110">
        <f>SUM(V712:V717)</f>
        <v>0</v>
      </c>
      <c r="W718" s="110">
        <f>SUM(W712:W717)</f>
        <v>0</v>
      </c>
      <c r="X718" s="110">
        <f>SUM(C718:W718)</f>
        <v>218720</v>
      </c>
    </row>
    <row r="719" spans="1:24" ht="21" customHeight="1">
      <c r="A719" s="492" t="s">
        <v>231</v>
      </c>
      <c r="B719" s="493"/>
      <c r="C719" s="110">
        <f>+C718+C603</f>
        <v>1526054</v>
      </c>
      <c r="D719" s="110">
        <f aca="true" t="shared" si="187" ref="D719:X719">+D718+D603</f>
        <v>0</v>
      </c>
      <c r="E719" s="110">
        <f t="shared" si="187"/>
        <v>0</v>
      </c>
      <c r="F719" s="110">
        <f t="shared" si="187"/>
        <v>0</v>
      </c>
      <c r="G719" s="110">
        <f t="shared" si="187"/>
        <v>0</v>
      </c>
      <c r="H719" s="110">
        <f t="shared" si="187"/>
        <v>0</v>
      </c>
      <c r="I719" s="110">
        <f t="shared" si="187"/>
        <v>0</v>
      </c>
      <c r="J719" s="110">
        <f t="shared" si="187"/>
        <v>0</v>
      </c>
      <c r="K719" s="110">
        <f t="shared" si="187"/>
        <v>0</v>
      </c>
      <c r="L719" s="110">
        <f t="shared" si="187"/>
        <v>0</v>
      </c>
      <c r="M719" s="110">
        <f t="shared" si="187"/>
        <v>0</v>
      </c>
      <c r="N719" s="110">
        <f t="shared" si="187"/>
        <v>0</v>
      </c>
      <c r="O719" s="110">
        <f t="shared" si="187"/>
        <v>0</v>
      </c>
      <c r="P719" s="110">
        <f t="shared" si="187"/>
        <v>0</v>
      </c>
      <c r="Q719" s="110">
        <f t="shared" si="187"/>
        <v>0</v>
      </c>
      <c r="R719" s="110">
        <f t="shared" si="187"/>
        <v>0</v>
      </c>
      <c r="S719" s="110">
        <f t="shared" si="187"/>
        <v>0</v>
      </c>
      <c r="T719" s="110">
        <f t="shared" si="187"/>
        <v>0</v>
      </c>
      <c r="U719" s="110">
        <f t="shared" si="187"/>
        <v>0</v>
      </c>
      <c r="V719" s="110">
        <f t="shared" si="187"/>
        <v>0</v>
      </c>
      <c r="W719" s="110">
        <f t="shared" si="187"/>
        <v>0</v>
      </c>
      <c r="X719" s="110">
        <f t="shared" si="187"/>
        <v>1526054</v>
      </c>
    </row>
    <row r="720" spans="1:24" ht="21" customHeight="1">
      <c r="A720" s="488" t="s">
        <v>270</v>
      </c>
      <c r="B720" s="489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95"/>
      <c r="P720" s="195"/>
      <c r="Q720" s="115"/>
      <c r="R720" s="115"/>
      <c r="S720" s="115"/>
      <c r="T720" s="115"/>
      <c r="U720" s="115"/>
      <c r="V720" s="115"/>
      <c r="W720" s="115"/>
      <c r="X720" s="116">
        <f>SUM(C720:W720)</f>
        <v>0</v>
      </c>
    </row>
    <row r="721" spans="1:24" ht="21" customHeight="1">
      <c r="A721" s="108">
        <v>220100</v>
      </c>
      <c r="B721" s="73" t="s">
        <v>232</v>
      </c>
      <c r="C721" s="76">
        <v>198388</v>
      </c>
      <c r="D721" s="76">
        <v>78950</v>
      </c>
      <c r="E721" s="76">
        <v>20770</v>
      </c>
      <c r="F721" s="76">
        <v>0</v>
      </c>
      <c r="G721" s="76"/>
      <c r="H721" s="76"/>
      <c r="I721" s="76"/>
      <c r="J721" s="76"/>
      <c r="K721" s="76"/>
      <c r="L721" s="76">
        <v>32530</v>
      </c>
      <c r="M721" s="76"/>
      <c r="N721" s="371"/>
      <c r="O721" s="192">
        <v>16960</v>
      </c>
      <c r="P721" s="192"/>
      <c r="Q721" s="76"/>
      <c r="R721" s="76"/>
      <c r="S721" s="76"/>
      <c r="T721" s="76"/>
      <c r="U721" s="76"/>
      <c r="V721" s="76"/>
      <c r="W721" s="76"/>
      <c r="X721" s="110">
        <f>SUM(C721:W721)</f>
        <v>347598</v>
      </c>
    </row>
    <row r="722" spans="1:24" ht="21" customHeight="1">
      <c r="A722" s="108">
        <v>220200</v>
      </c>
      <c r="B722" s="73" t="s">
        <v>233</v>
      </c>
      <c r="C722" s="76">
        <v>5600</v>
      </c>
      <c r="D722" s="76">
        <v>655</v>
      </c>
      <c r="E722" s="76"/>
      <c r="F722" s="76"/>
      <c r="G722" s="76"/>
      <c r="H722" s="76"/>
      <c r="I722" s="76"/>
      <c r="J722" s="76"/>
      <c r="K722" s="76"/>
      <c r="L722" s="76">
        <v>0</v>
      </c>
      <c r="M722" s="76"/>
      <c r="N722" s="372"/>
      <c r="O722" s="192"/>
      <c r="P722" s="192"/>
      <c r="Q722" s="76"/>
      <c r="R722" s="76"/>
      <c r="S722" s="76"/>
      <c r="T722" s="76"/>
      <c r="U722" s="76"/>
      <c r="V722" s="76"/>
      <c r="W722" s="76"/>
      <c r="X722" s="110">
        <f>SUM(C722:W722)</f>
        <v>6255</v>
      </c>
    </row>
    <row r="723" spans="1:24" ht="21" customHeight="1">
      <c r="A723" s="108">
        <v>220300</v>
      </c>
      <c r="B723" s="73" t="s">
        <v>234</v>
      </c>
      <c r="C723" s="76">
        <v>9100</v>
      </c>
      <c r="D723" s="76"/>
      <c r="E723" s="76"/>
      <c r="F723" s="76"/>
      <c r="G723" s="76"/>
      <c r="H723" s="76"/>
      <c r="I723" s="76"/>
      <c r="J723" s="76"/>
      <c r="K723" s="76"/>
      <c r="L723" s="76">
        <v>0</v>
      </c>
      <c r="M723" s="76"/>
      <c r="N723" s="372"/>
      <c r="O723" s="192"/>
      <c r="P723" s="192"/>
      <c r="Q723" s="76"/>
      <c r="R723" s="76"/>
      <c r="S723" s="76"/>
      <c r="T723" s="76"/>
      <c r="U723" s="76"/>
      <c r="V723" s="76"/>
      <c r="W723" s="76"/>
      <c r="X723" s="110">
        <f>SUM(C723:W723)</f>
        <v>9100</v>
      </c>
    </row>
    <row r="724" spans="1:24" ht="21" customHeight="1">
      <c r="A724" s="108">
        <v>220400</v>
      </c>
      <c r="B724" s="73" t="s">
        <v>3</v>
      </c>
      <c r="C724" s="76"/>
      <c r="D724" s="76">
        <v>30960</v>
      </c>
      <c r="E724" s="76"/>
      <c r="F724" s="76"/>
      <c r="G724" s="76"/>
      <c r="H724" s="76"/>
      <c r="I724" s="76"/>
      <c r="J724" s="76"/>
      <c r="K724" s="76"/>
      <c r="L724" s="76">
        <v>0</v>
      </c>
      <c r="M724" s="76"/>
      <c r="N724" s="372"/>
      <c r="O724" s="192"/>
      <c r="P724" s="192"/>
      <c r="Q724" s="76"/>
      <c r="R724" s="76"/>
      <c r="S724" s="76"/>
      <c r="T724" s="76"/>
      <c r="U724" s="76"/>
      <c r="V724" s="76"/>
      <c r="W724" s="76"/>
      <c r="X724" s="110">
        <f>SUM(C724:W724)</f>
        <v>30960</v>
      </c>
    </row>
    <row r="725" spans="1:24" ht="21" customHeight="1">
      <c r="A725" s="108">
        <v>220500</v>
      </c>
      <c r="B725" s="73" t="s">
        <v>235</v>
      </c>
      <c r="C725" s="76"/>
      <c r="D725" s="76">
        <v>0</v>
      </c>
      <c r="E725" s="76"/>
      <c r="F725" s="76"/>
      <c r="G725" s="76"/>
      <c r="H725" s="76"/>
      <c r="I725" s="76"/>
      <c r="J725" s="76"/>
      <c r="K725" s="76"/>
      <c r="L725" s="76">
        <v>0</v>
      </c>
      <c r="M725" s="76"/>
      <c r="N725" s="373"/>
      <c r="O725" s="192"/>
      <c r="P725" s="192"/>
      <c r="Q725" s="76"/>
      <c r="R725" s="76"/>
      <c r="S725" s="76"/>
      <c r="T725" s="76"/>
      <c r="U725" s="76"/>
      <c r="V725" s="76"/>
      <c r="W725" s="76"/>
      <c r="X725" s="110">
        <f>SUM(C725:W725)</f>
        <v>0</v>
      </c>
    </row>
    <row r="726" spans="1:24" ht="21" customHeight="1">
      <c r="A726" s="497" t="s">
        <v>194</v>
      </c>
      <c r="B726" s="497"/>
      <c r="C726" s="496" t="s">
        <v>196</v>
      </c>
      <c r="D726" s="496"/>
      <c r="E726" s="499" t="s">
        <v>199</v>
      </c>
      <c r="F726" s="500"/>
      <c r="G726" s="496" t="s">
        <v>201</v>
      </c>
      <c r="H726" s="497"/>
      <c r="I726" s="499" t="s">
        <v>215</v>
      </c>
      <c r="J726" s="500"/>
      <c r="K726" s="392" t="s">
        <v>216</v>
      </c>
      <c r="L726" s="499" t="s">
        <v>217</v>
      </c>
      <c r="M726" s="501"/>
      <c r="N726" s="500"/>
      <c r="O726" s="499" t="s">
        <v>218</v>
      </c>
      <c r="P726" s="500"/>
      <c r="Q726" s="499" t="s">
        <v>219</v>
      </c>
      <c r="R726" s="501"/>
      <c r="S726" s="500"/>
      <c r="T726" s="496" t="s">
        <v>220</v>
      </c>
      <c r="U726" s="497"/>
      <c r="V726" s="392" t="s">
        <v>284</v>
      </c>
      <c r="W726" s="392" t="s">
        <v>221</v>
      </c>
      <c r="X726" s="498" t="s">
        <v>17</v>
      </c>
    </row>
    <row r="727" spans="1:24" ht="21" customHeight="1">
      <c r="A727" s="497" t="s">
        <v>195</v>
      </c>
      <c r="B727" s="497"/>
      <c r="C727" s="392" t="s">
        <v>197</v>
      </c>
      <c r="D727" s="392" t="s">
        <v>198</v>
      </c>
      <c r="E727" s="392" t="s">
        <v>200</v>
      </c>
      <c r="F727" s="392" t="s">
        <v>288</v>
      </c>
      <c r="G727" s="392" t="s">
        <v>202</v>
      </c>
      <c r="H727" s="392" t="s">
        <v>203</v>
      </c>
      <c r="I727" s="392" t="s">
        <v>204</v>
      </c>
      <c r="J727" s="392" t="s">
        <v>205</v>
      </c>
      <c r="K727" s="392" t="s">
        <v>206</v>
      </c>
      <c r="L727" s="392" t="s">
        <v>207</v>
      </c>
      <c r="M727" s="392" t="s">
        <v>208</v>
      </c>
      <c r="N727" s="392" t="s">
        <v>334</v>
      </c>
      <c r="O727" s="393" t="s">
        <v>471</v>
      </c>
      <c r="P727" s="393" t="s">
        <v>209</v>
      </c>
      <c r="Q727" s="392" t="s">
        <v>210</v>
      </c>
      <c r="R727" s="392" t="s">
        <v>211</v>
      </c>
      <c r="S727" s="392" t="s">
        <v>290</v>
      </c>
      <c r="T727" s="392" t="s">
        <v>212</v>
      </c>
      <c r="U727" s="392" t="s">
        <v>213</v>
      </c>
      <c r="V727" s="392" t="s">
        <v>285</v>
      </c>
      <c r="W727" s="392" t="s">
        <v>214</v>
      </c>
      <c r="X727" s="498"/>
    </row>
    <row r="728" spans="1:24" ht="21" customHeight="1">
      <c r="A728" s="108">
        <v>220600</v>
      </c>
      <c r="B728" s="73" t="s">
        <v>236</v>
      </c>
      <c r="C728" s="76">
        <v>81460</v>
      </c>
      <c r="D728" s="76">
        <v>24400</v>
      </c>
      <c r="E728" s="76">
        <v>9400</v>
      </c>
      <c r="F728" s="76"/>
      <c r="G728" s="76">
        <v>26490</v>
      </c>
      <c r="H728" s="84"/>
      <c r="I728" s="76">
        <v>25260</v>
      </c>
      <c r="J728" s="76"/>
      <c r="K728" s="76"/>
      <c r="L728" s="76">
        <v>46880</v>
      </c>
      <c r="M728" s="76"/>
      <c r="N728" s="76"/>
      <c r="O728" s="192">
        <v>15960</v>
      </c>
      <c r="P728" s="192"/>
      <c r="Q728" s="76"/>
      <c r="R728" s="76"/>
      <c r="S728" s="76"/>
      <c r="T728" s="76"/>
      <c r="U728" s="76"/>
      <c r="V728" s="76"/>
      <c r="W728" s="76"/>
      <c r="X728" s="110">
        <f>SUM(C728:W728)</f>
        <v>229850</v>
      </c>
    </row>
    <row r="729" spans="1:24" ht="21" customHeight="1">
      <c r="A729" s="111">
        <v>220700</v>
      </c>
      <c r="B729" s="74" t="s">
        <v>237</v>
      </c>
      <c r="C729" s="76">
        <v>6000</v>
      </c>
      <c r="D729" s="87">
        <v>1500</v>
      </c>
      <c r="E729" s="87">
        <v>1500</v>
      </c>
      <c r="F729" s="87"/>
      <c r="G729" s="145"/>
      <c r="H729" s="145"/>
      <c r="I729" s="87">
        <v>1500</v>
      </c>
      <c r="J729" s="87"/>
      <c r="K729" s="87"/>
      <c r="L729" s="76">
        <v>4500</v>
      </c>
      <c r="M729" s="87"/>
      <c r="N729" s="87"/>
      <c r="O729" s="193"/>
      <c r="P729" s="193"/>
      <c r="Q729" s="87"/>
      <c r="R729" s="87"/>
      <c r="S729" s="87"/>
      <c r="T729" s="87"/>
      <c r="U729" s="87"/>
      <c r="V729" s="87"/>
      <c r="W729" s="87"/>
      <c r="X729" s="110">
        <f>SUM(C729:W729)</f>
        <v>15000</v>
      </c>
    </row>
    <row r="730" spans="1:25" ht="21" customHeight="1">
      <c r="A730" s="490" t="s">
        <v>230</v>
      </c>
      <c r="B730" s="491"/>
      <c r="C730" s="110">
        <f>SUM(C720:C729)</f>
        <v>300548</v>
      </c>
      <c r="D730" s="110">
        <f aca="true" t="shared" si="188" ref="D730:X730">SUM(D720:D729)</f>
        <v>136465</v>
      </c>
      <c r="E730" s="110">
        <f t="shared" si="188"/>
        <v>31670</v>
      </c>
      <c r="F730" s="110">
        <f t="shared" si="188"/>
        <v>0</v>
      </c>
      <c r="G730" s="110">
        <f t="shared" si="188"/>
        <v>26490</v>
      </c>
      <c r="H730" s="110">
        <f t="shared" si="188"/>
        <v>0</v>
      </c>
      <c r="I730" s="110">
        <f t="shared" si="188"/>
        <v>26760</v>
      </c>
      <c r="J730" s="110">
        <f t="shared" si="188"/>
        <v>0</v>
      </c>
      <c r="K730" s="110">
        <f t="shared" si="188"/>
        <v>0</v>
      </c>
      <c r="L730" s="110">
        <f t="shared" si="188"/>
        <v>83910</v>
      </c>
      <c r="M730" s="110">
        <f t="shared" si="188"/>
        <v>0</v>
      </c>
      <c r="N730" s="110">
        <f t="shared" si="188"/>
        <v>0</v>
      </c>
      <c r="O730" s="110">
        <f t="shared" si="188"/>
        <v>32920</v>
      </c>
      <c r="P730" s="110">
        <f t="shared" si="188"/>
        <v>0</v>
      </c>
      <c r="Q730" s="110">
        <f t="shared" si="188"/>
        <v>0</v>
      </c>
      <c r="R730" s="110">
        <f t="shared" si="188"/>
        <v>0</v>
      </c>
      <c r="S730" s="110">
        <f t="shared" si="188"/>
        <v>0</v>
      </c>
      <c r="T730" s="110">
        <f t="shared" si="188"/>
        <v>0</v>
      </c>
      <c r="U730" s="110">
        <f t="shared" si="188"/>
        <v>0</v>
      </c>
      <c r="V730" s="110">
        <f t="shared" si="188"/>
        <v>0</v>
      </c>
      <c r="W730" s="110">
        <f t="shared" si="188"/>
        <v>0</v>
      </c>
      <c r="X730" s="110">
        <f t="shared" si="188"/>
        <v>638763</v>
      </c>
      <c r="Y730" s="106">
        <f>362953+30960+244850</f>
        <v>638763</v>
      </c>
    </row>
    <row r="731" spans="1:24" ht="21" customHeight="1">
      <c r="A731" s="492" t="s">
        <v>231</v>
      </c>
      <c r="B731" s="493"/>
      <c r="C731" s="114">
        <f>+C730+C615</f>
        <v>1965468</v>
      </c>
      <c r="D731" s="114">
        <f aca="true" t="shared" si="189" ref="D731:X731">+D730+D615</f>
        <v>875111.23</v>
      </c>
      <c r="E731" s="114">
        <f t="shared" si="189"/>
        <v>176143</v>
      </c>
      <c r="F731" s="114">
        <f t="shared" si="189"/>
        <v>0</v>
      </c>
      <c r="G731" s="114">
        <f t="shared" si="189"/>
        <v>178800</v>
      </c>
      <c r="H731" s="114">
        <f t="shared" si="189"/>
        <v>0</v>
      </c>
      <c r="I731" s="114">
        <f t="shared" si="189"/>
        <v>187320</v>
      </c>
      <c r="J731" s="114">
        <f t="shared" si="189"/>
        <v>0</v>
      </c>
      <c r="K731" s="114">
        <f t="shared" si="189"/>
        <v>0</v>
      </c>
      <c r="L731" s="114">
        <f t="shared" si="189"/>
        <v>547164</v>
      </c>
      <c r="M731" s="114">
        <f t="shared" si="189"/>
        <v>0</v>
      </c>
      <c r="N731" s="114">
        <f t="shared" si="189"/>
        <v>0</v>
      </c>
      <c r="O731" s="114">
        <f t="shared" si="189"/>
        <v>278409</v>
      </c>
      <c r="P731" s="114">
        <f t="shared" si="189"/>
        <v>0</v>
      </c>
      <c r="Q731" s="114">
        <f t="shared" si="189"/>
        <v>0</v>
      </c>
      <c r="R731" s="114">
        <f t="shared" si="189"/>
        <v>0</v>
      </c>
      <c r="S731" s="114">
        <f t="shared" si="189"/>
        <v>0</v>
      </c>
      <c r="T731" s="114">
        <f t="shared" si="189"/>
        <v>0</v>
      </c>
      <c r="U731" s="114">
        <f t="shared" si="189"/>
        <v>0</v>
      </c>
      <c r="V731" s="114">
        <f t="shared" si="189"/>
        <v>0</v>
      </c>
      <c r="W731" s="114">
        <f t="shared" si="189"/>
        <v>0</v>
      </c>
      <c r="X731" s="114">
        <f t="shared" si="189"/>
        <v>4208415.23</v>
      </c>
    </row>
    <row r="732" spans="1:24" ht="21" customHeight="1">
      <c r="A732" s="488" t="s">
        <v>271</v>
      </c>
      <c r="B732" s="489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95"/>
      <c r="P732" s="195"/>
      <c r="Q732" s="115"/>
      <c r="R732" s="115"/>
      <c r="S732" s="115"/>
      <c r="T732" s="115"/>
      <c r="U732" s="115"/>
      <c r="V732" s="115"/>
      <c r="W732" s="115"/>
      <c r="X732" s="116">
        <f aca="true" t="shared" si="190" ref="X732:X737">SUM(C732:W732)</f>
        <v>0</v>
      </c>
    </row>
    <row r="733" spans="1:24" ht="21" customHeight="1">
      <c r="A733" s="108">
        <v>310100</v>
      </c>
      <c r="B733" s="73" t="s">
        <v>238</v>
      </c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192"/>
      <c r="P733" s="192"/>
      <c r="Q733" s="76"/>
      <c r="R733" s="76"/>
      <c r="S733" s="76"/>
      <c r="T733" s="76"/>
      <c r="U733" s="76"/>
      <c r="V733" s="76"/>
      <c r="W733" s="76"/>
      <c r="X733" s="110">
        <f t="shared" si="190"/>
        <v>0</v>
      </c>
    </row>
    <row r="734" spans="1:24" ht="21" customHeight="1">
      <c r="A734" s="108">
        <v>310200</v>
      </c>
      <c r="B734" s="73" t="s">
        <v>239</v>
      </c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192"/>
      <c r="P734" s="192"/>
      <c r="Q734" s="76"/>
      <c r="R734" s="76"/>
      <c r="S734" s="76"/>
      <c r="T734" s="76"/>
      <c r="U734" s="76"/>
      <c r="V734" s="76"/>
      <c r="W734" s="76"/>
      <c r="X734" s="110">
        <f t="shared" si="190"/>
        <v>0</v>
      </c>
    </row>
    <row r="735" spans="1:24" ht="21" customHeight="1">
      <c r="A735" s="108">
        <v>310300</v>
      </c>
      <c r="B735" s="73" t="s">
        <v>240</v>
      </c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192"/>
      <c r="P735" s="192"/>
      <c r="Q735" s="76"/>
      <c r="R735" s="76"/>
      <c r="S735" s="76"/>
      <c r="T735" s="76"/>
      <c r="U735" s="76"/>
      <c r="V735" s="76"/>
      <c r="W735" s="76"/>
      <c r="X735" s="110">
        <f t="shared" si="190"/>
        <v>0</v>
      </c>
    </row>
    <row r="736" spans="1:24" ht="21" customHeight="1">
      <c r="A736" s="108">
        <v>310400</v>
      </c>
      <c r="B736" s="73" t="s">
        <v>241</v>
      </c>
      <c r="C736" s="76">
        <v>17300</v>
      </c>
      <c r="D736" s="76">
        <v>4600</v>
      </c>
      <c r="E736" s="76"/>
      <c r="F736" s="76">
        <v>2500</v>
      </c>
      <c r="G736" s="76"/>
      <c r="H736" s="76"/>
      <c r="I736" s="76"/>
      <c r="J736" s="76"/>
      <c r="K736" s="76"/>
      <c r="L736" s="76">
        <v>4800</v>
      </c>
      <c r="M736" s="76"/>
      <c r="N736" s="76"/>
      <c r="O736" s="192">
        <v>2300</v>
      </c>
      <c r="P736" s="192"/>
      <c r="Q736" s="76"/>
      <c r="R736" s="76"/>
      <c r="S736" s="76"/>
      <c r="T736" s="76"/>
      <c r="U736" s="76"/>
      <c r="V736" s="76"/>
      <c r="W736" s="76"/>
      <c r="X736" s="110">
        <f t="shared" si="190"/>
        <v>31500</v>
      </c>
    </row>
    <row r="737" spans="1:24" ht="21" customHeight="1">
      <c r="A737" s="108">
        <v>310500</v>
      </c>
      <c r="B737" s="73" t="s">
        <v>242</v>
      </c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192"/>
      <c r="P737" s="192"/>
      <c r="Q737" s="76"/>
      <c r="R737" s="76"/>
      <c r="S737" s="76"/>
      <c r="T737" s="76"/>
      <c r="U737" s="76"/>
      <c r="V737" s="76"/>
      <c r="W737" s="76"/>
      <c r="X737" s="110">
        <f t="shared" si="190"/>
        <v>0</v>
      </c>
    </row>
    <row r="738" spans="1:24" ht="21" customHeight="1">
      <c r="A738" s="111">
        <v>310600</v>
      </c>
      <c r="B738" s="74" t="s">
        <v>243</v>
      </c>
      <c r="C738" s="76"/>
      <c r="D738" s="76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193"/>
      <c r="P738" s="193"/>
      <c r="Q738" s="87"/>
      <c r="R738" s="87"/>
      <c r="S738" s="87"/>
      <c r="T738" s="87"/>
      <c r="U738" s="87"/>
      <c r="V738" s="87"/>
      <c r="W738" s="87"/>
      <c r="X738" s="113">
        <f>SUM(C738:W738)</f>
        <v>0</v>
      </c>
    </row>
    <row r="739" spans="1:24" ht="21" customHeight="1">
      <c r="A739" s="490" t="s">
        <v>230</v>
      </c>
      <c r="B739" s="491"/>
      <c r="C739" s="110">
        <f>SUM(C733:C738)</f>
        <v>17300</v>
      </c>
      <c r="D739" s="110">
        <f aca="true" t="shared" si="191" ref="D739:U739">SUM(D733:D738)</f>
        <v>4600</v>
      </c>
      <c r="E739" s="110">
        <f t="shared" si="191"/>
        <v>0</v>
      </c>
      <c r="F739" s="110">
        <f t="shared" si="191"/>
        <v>2500</v>
      </c>
      <c r="G739" s="110">
        <f t="shared" si="191"/>
        <v>0</v>
      </c>
      <c r="H739" s="110">
        <f t="shared" si="191"/>
        <v>0</v>
      </c>
      <c r="I739" s="110">
        <f t="shared" si="191"/>
        <v>0</v>
      </c>
      <c r="J739" s="110">
        <f t="shared" si="191"/>
        <v>0</v>
      </c>
      <c r="K739" s="110">
        <f t="shared" si="191"/>
        <v>0</v>
      </c>
      <c r="L739" s="110">
        <f t="shared" si="191"/>
        <v>4800</v>
      </c>
      <c r="M739" s="110">
        <f t="shared" si="191"/>
        <v>0</v>
      </c>
      <c r="N739" s="110">
        <f t="shared" si="191"/>
        <v>0</v>
      </c>
      <c r="O739" s="110">
        <f t="shared" si="191"/>
        <v>2300</v>
      </c>
      <c r="P739" s="110">
        <f t="shared" si="191"/>
        <v>0</v>
      </c>
      <c r="Q739" s="110">
        <f t="shared" si="191"/>
        <v>0</v>
      </c>
      <c r="R739" s="110">
        <f t="shared" si="191"/>
        <v>0</v>
      </c>
      <c r="S739" s="110">
        <f t="shared" si="191"/>
        <v>0</v>
      </c>
      <c r="T739" s="110">
        <f t="shared" si="191"/>
        <v>0</v>
      </c>
      <c r="U739" s="110">
        <f t="shared" si="191"/>
        <v>0</v>
      </c>
      <c r="V739" s="110">
        <f>SUM(V733:V738)</f>
        <v>0</v>
      </c>
      <c r="W739" s="110">
        <f>SUM(W733:W738)</f>
        <v>0</v>
      </c>
      <c r="X739" s="110">
        <f>SUM(C739:W739)</f>
        <v>31500</v>
      </c>
    </row>
    <row r="740" spans="1:24" ht="21" customHeight="1">
      <c r="A740" s="492" t="s">
        <v>231</v>
      </c>
      <c r="B740" s="493"/>
      <c r="C740" s="114">
        <f>+C739+C624</f>
        <v>136674</v>
      </c>
      <c r="D740" s="114">
        <f aca="true" t="shared" si="192" ref="D740:X740">+D739+D624</f>
        <v>26550</v>
      </c>
      <c r="E740" s="114">
        <f t="shared" si="192"/>
        <v>0</v>
      </c>
      <c r="F740" s="114">
        <f t="shared" si="192"/>
        <v>15000</v>
      </c>
      <c r="G740" s="114">
        <f t="shared" si="192"/>
        <v>0</v>
      </c>
      <c r="H740" s="114">
        <f t="shared" si="192"/>
        <v>0</v>
      </c>
      <c r="I740" s="114">
        <f t="shared" si="192"/>
        <v>0</v>
      </c>
      <c r="J740" s="114">
        <f t="shared" si="192"/>
        <v>0</v>
      </c>
      <c r="K740" s="114">
        <f t="shared" si="192"/>
        <v>0</v>
      </c>
      <c r="L740" s="114">
        <f t="shared" si="192"/>
        <v>33737</v>
      </c>
      <c r="M740" s="114">
        <f t="shared" si="192"/>
        <v>0</v>
      </c>
      <c r="N740" s="114">
        <f t="shared" si="192"/>
        <v>0</v>
      </c>
      <c r="O740" s="114">
        <f t="shared" si="192"/>
        <v>12750</v>
      </c>
      <c r="P740" s="114">
        <f t="shared" si="192"/>
        <v>0</v>
      </c>
      <c r="Q740" s="114">
        <f t="shared" si="192"/>
        <v>0</v>
      </c>
      <c r="R740" s="114">
        <f t="shared" si="192"/>
        <v>0</v>
      </c>
      <c r="S740" s="114">
        <f t="shared" si="192"/>
        <v>0</v>
      </c>
      <c r="T740" s="114">
        <f t="shared" si="192"/>
        <v>0</v>
      </c>
      <c r="U740" s="114">
        <f t="shared" si="192"/>
        <v>0</v>
      </c>
      <c r="V740" s="114">
        <f t="shared" si="192"/>
        <v>0</v>
      </c>
      <c r="W740" s="114">
        <f t="shared" si="192"/>
        <v>0</v>
      </c>
      <c r="X740" s="114">
        <f t="shared" si="192"/>
        <v>224711</v>
      </c>
    </row>
    <row r="741" spans="1:24" ht="21" customHeight="1">
      <c r="A741" s="488" t="s">
        <v>272</v>
      </c>
      <c r="B741" s="489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95"/>
      <c r="P741" s="195"/>
      <c r="Q741" s="115"/>
      <c r="R741" s="115"/>
      <c r="S741" s="115"/>
      <c r="T741" s="115"/>
      <c r="U741" s="115"/>
      <c r="V741" s="115"/>
      <c r="W741" s="115"/>
      <c r="X741" s="116">
        <f>SUM(C741:W741)</f>
        <v>0</v>
      </c>
    </row>
    <row r="742" spans="1:24" ht="21" customHeight="1">
      <c r="A742" s="108">
        <v>320100</v>
      </c>
      <c r="B742" s="73" t="s">
        <v>244</v>
      </c>
      <c r="C742" s="76">
        <f>7000+7000+3200+500+3600+3600+3900+5184+520</f>
        <v>34504</v>
      </c>
      <c r="D742" s="76"/>
      <c r="E742" s="76"/>
      <c r="F742" s="76"/>
      <c r="G742" s="76">
        <f>7000+7000+4500+3900+3900+3900+3900</f>
        <v>34100</v>
      </c>
      <c r="H742" s="76"/>
      <c r="I742" s="76"/>
      <c r="J742" s="76">
        <f>7000+7000</f>
        <v>14000</v>
      </c>
      <c r="K742" s="76"/>
      <c r="L742" s="76"/>
      <c r="M742" s="76"/>
      <c r="N742" s="76">
        <f>7000+7000+7000+7000+9548.75</f>
        <v>37548.75</v>
      </c>
      <c r="O742" s="192"/>
      <c r="P742" s="192">
        <v>4030</v>
      </c>
      <c r="Q742" s="76"/>
      <c r="R742" s="76"/>
      <c r="S742" s="76"/>
      <c r="T742" s="76"/>
      <c r="U742" s="76"/>
      <c r="V742" s="76">
        <v>8000</v>
      </c>
      <c r="W742" s="76"/>
      <c r="X742" s="110">
        <f>SUM(C742:W742)</f>
        <v>132182.75</v>
      </c>
    </row>
    <row r="743" spans="1:24" ht="21" customHeight="1">
      <c r="A743" s="108">
        <v>320200</v>
      </c>
      <c r="B743" s="73" t="s">
        <v>245</v>
      </c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192"/>
      <c r="P743" s="192"/>
      <c r="Q743" s="76"/>
      <c r="R743" s="76"/>
      <c r="S743" s="76"/>
      <c r="T743" s="76"/>
      <c r="U743" s="76"/>
      <c r="V743" s="76"/>
      <c r="W743" s="76"/>
      <c r="X743" s="110">
        <f>SUM(C743:W743)</f>
        <v>0</v>
      </c>
    </row>
    <row r="744" spans="1:24" ht="21" customHeight="1">
      <c r="A744" s="108">
        <v>320300</v>
      </c>
      <c r="B744" s="73" t="s">
        <v>246</v>
      </c>
      <c r="C744" s="76">
        <f>3648+4768+944+10728.05+4896+6605.2+2420+10080</f>
        <v>44089.25</v>
      </c>
      <c r="D744" s="76">
        <f>3760+3760+3760</f>
        <v>11280</v>
      </c>
      <c r="E744" s="76"/>
      <c r="F744" s="76"/>
      <c r="G744" s="76">
        <f>1450+2650+2650+2650+2650+10000+8000+4000+3000+3000</f>
        <v>40050</v>
      </c>
      <c r="H744" s="76"/>
      <c r="I744" s="76"/>
      <c r="J744" s="76"/>
      <c r="K744" s="76"/>
      <c r="L744" s="76">
        <v>3760</v>
      </c>
      <c r="M744" s="76"/>
      <c r="N744" s="76"/>
      <c r="O744" s="192"/>
      <c r="P744" s="192">
        <f>7200+700+14400+500</f>
        <v>22800</v>
      </c>
      <c r="Q744" s="76"/>
      <c r="R744" s="76">
        <f>16000+15000+15000+900+28000</f>
        <v>74900</v>
      </c>
      <c r="S744" s="76"/>
      <c r="T744" s="76"/>
      <c r="U744" s="76"/>
      <c r="V744" s="76"/>
      <c r="W744" s="76"/>
      <c r="X744" s="110">
        <f>SUM(C744:W744)</f>
        <v>196879.25</v>
      </c>
    </row>
    <row r="745" spans="1:24" ht="21" customHeight="1">
      <c r="A745" s="111">
        <v>320400</v>
      </c>
      <c r="B745" s="74" t="s">
        <v>247</v>
      </c>
      <c r="C745" s="87">
        <v>2150</v>
      </c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193"/>
      <c r="P745" s="193"/>
      <c r="Q745" s="87"/>
      <c r="R745" s="87"/>
      <c r="S745" s="87"/>
      <c r="T745" s="87"/>
      <c r="U745" s="87"/>
      <c r="V745" s="87"/>
      <c r="W745" s="87"/>
      <c r="X745" s="110">
        <f>SUM(C745:W745)</f>
        <v>2150</v>
      </c>
    </row>
    <row r="746" spans="1:25" ht="21" customHeight="1">
      <c r="A746" s="490" t="s">
        <v>230</v>
      </c>
      <c r="B746" s="491"/>
      <c r="C746" s="110">
        <f>SUM(C742:C745)</f>
        <v>80743.25</v>
      </c>
      <c r="D746" s="110">
        <f aca="true" t="shared" si="193" ref="D746:W746">SUM(D742:D745)</f>
        <v>11280</v>
      </c>
      <c r="E746" s="110">
        <f t="shared" si="193"/>
        <v>0</v>
      </c>
      <c r="F746" s="110">
        <f t="shared" si="193"/>
        <v>0</v>
      </c>
      <c r="G746" s="110">
        <f t="shared" si="193"/>
        <v>74150</v>
      </c>
      <c r="H746" s="110">
        <f t="shared" si="193"/>
        <v>0</v>
      </c>
      <c r="I746" s="110">
        <f t="shared" si="193"/>
        <v>0</v>
      </c>
      <c r="J746" s="110">
        <f t="shared" si="193"/>
        <v>14000</v>
      </c>
      <c r="K746" s="110">
        <f t="shared" si="193"/>
        <v>0</v>
      </c>
      <c r="L746" s="110">
        <f t="shared" si="193"/>
        <v>3760</v>
      </c>
      <c r="M746" s="110">
        <f t="shared" si="193"/>
        <v>0</v>
      </c>
      <c r="N746" s="110">
        <f t="shared" si="193"/>
        <v>37548.75</v>
      </c>
      <c r="O746" s="110">
        <f t="shared" si="193"/>
        <v>0</v>
      </c>
      <c r="P746" s="110">
        <f t="shared" si="193"/>
        <v>26830</v>
      </c>
      <c r="Q746" s="110">
        <f t="shared" si="193"/>
        <v>0</v>
      </c>
      <c r="R746" s="110">
        <f t="shared" si="193"/>
        <v>74900</v>
      </c>
      <c r="S746" s="110">
        <f t="shared" si="193"/>
        <v>0</v>
      </c>
      <c r="T746" s="110">
        <f t="shared" si="193"/>
        <v>0</v>
      </c>
      <c r="U746" s="110">
        <f t="shared" si="193"/>
        <v>0</v>
      </c>
      <c r="V746" s="110">
        <f t="shared" si="193"/>
        <v>8000</v>
      </c>
      <c r="W746" s="110">
        <f t="shared" si="193"/>
        <v>0</v>
      </c>
      <c r="X746" s="110">
        <f>SUM(X742:X745)</f>
        <v>331212</v>
      </c>
      <c r="Y746" s="106">
        <f>261472+69740</f>
        <v>331212</v>
      </c>
    </row>
    <row r="747" spans="1:24" ht="21" customHeight="1">
      <c r="A747" s="492" t="s">
        <v>231</v>
      </c>
      <c r="B747" s="493"/>
      <c r="C747" s="114">
        <f>+C746+C631</f>
        <v>367690.01</v>
      </c>
      <c r="D747" s="114">
        <f aca="true" t="shared" si="194" ref="D747:X747">+D746+D631</f>
        <v>50443.8</v>
      </c>
      <c r="E747" s="114">
        <f t="shared" si="194"/>
        <v>0</v>
      </c>
      <c r="F747" s="114">
        <f t="shared" si="194"/>
        <v>44867.4</v>
      </c>
      <c r="G747" s="114">
        <f t="shared" si="194"/>
        <v>216462</v>
      </c>
      <c r="H747" s="114">
        <f t="shared" si="194"/>
        <v>490000</v>
      </c>
      <c r="I747" s="114">
        <f t="shared" si="194"/>
        <v>0</v>
      </c>
      <c r="J747" s="114">
        <f t="shared" si="194"/>
        <v>84000</v>
      </c>
      <c r="K747" s="114">
        <f t="shared" si="194"/>
        <v>0</v>
      </c>
      <c r="L747" s="114">
        <f t="shared" si="194"/>
        <v>17220</v>
      </c>
      <c r="M747" s="114">
        <f t="shared" si="194"/>
        <v>0</v>
      </c>
      <c r="N747" s="114">
        <f t="shared" si="194"/>
        <v>241821.25</v>
      </c>
      <c r="O747" s="114">
        <f t="shared" si="194"/>
        <v>0</v>
      </c>
      <c r="P747" s="114">
        <f t="shared" si="194"/>
        <v>106860</v>
      </c>
      <c r="Q747" s="114">
        <f t="shared" si="194"/>
        <v>26840</v>
      </c>
      <c r="R747" s="114">
        <f t="shared" si="194"/>
        <v>225105</v>
      </c>
      <c r="S747" s="114">
        <f t="shared" si="194"/>
        <v>77215</v>
      </c>
      <c r="T747" s="114">
        <f t="shared" si="194"/>
        <v>0</v>
      </c>
      <c r="U747" s="114">
        <f t="shared" si="194"/>
        <v>0</v>
      </c>
      <c r="V747" s="114">
        <f t="shared" si="194"/>
        <v>68185</v>
      </c>
      <c r="W747" s="114">
        <f t="shared" si="194"/>
        <v>0</v>
      </c>
      <c r="X747" s="114">
        <f t="shared" si="194"/>
        <v>2016709.46</v>
      </c>
    </row>
    <row r="748" spans="1:24" ht="21" customHeight="1">
      <c r="A748" s="488" t="s">
        <v>273</v>
      </c>
      <c r="B748" s="489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95"/>
      <c r="P748" s="195"/>
      <c r="Q748" s="115"/>
      <c r="R748" s="115"/>
      <c r="S748" s="115"/>
      <c r="T748" s="115"/>
      <c r="U748" s="115"/>
      <c r="V748" s="115"/>
      <c r="W748" s="115"/>
      <c r="X748" s="116">
        <f>SUM(C748:W748)</f>
        <v>0</v>
      </c>
    </row>
    <row r="749" spans="1:24" ht="21" customHeight="1">
      <c r="A749" s="108">
        <v>330100</v>
      </c>
      <c r="B749" s="73" t="s">
        <v>248</v>
      </c>
      <c r="C749" s="76">
        <f>3700+13480</f>
        <v>17180</v>
      </c>
      <c r="D749" s="76"/>
      <c r="E749" s="76"/>
      <c r="F749" s="76"/>
      <c r="G749" s="76"/>
      <c r="H749" s="76"/>
      <c r="I749" s="76"/>
      <c r="J749" s="76"/>
      <c r="K749" s="76"/>
      <c r="L749" s="76">
        <v>5590</v>
      </c>
      <c r="M749" s="76"/>
      <c r="N749" s="76"/>
      <c r="O749" s="192"/>
      <c r="P749" s="192"/>
      <c r="Q749" s="76"/>
      <c r="R749" s="76"/>
      <c r="S749" s="76"/>
      <c r="T749" s="76"/>
      <c r="U749" s="76"/>
      <c r="V749" s="76"/>
      <c r="W749" s="76"/>
      <c r="X749" s="110">
        <f>SUM(C749:W749)</f>
        <v>22770</v>
      </c>
    </row>
    <row r="750" spans="1:24" ht="21" customHeight="1">
      <c r="A750" s="108">
        <v>330200</v>
      </c>
      <c r="B750" s="73" t="s">
        <v>249</v>
      </c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>
        <v>2900</v>
      </c>
      <c r="N750" s="76"/>
      <c r="O750" s="192"/>
      <c r="P750" s="192"/>
      <c r="Q750" s="76"/>
      <c r="R750" s="76"/>
      <c r="S750" s="76"/>
      <c r="T750" s="76"/>
      <c r="U750" s="76"/>
      <c r="V750" s="76">
        <v>7500</v>
      </c>
      <c r="W750" s="76"/>
      <c r="X750" s="110">
        <f>SUM(C750:W750)</f>
        <v>10400</v>
      </c>
    </row>
    <row r="751" spans="1:24" ht="21" customHeight="1">
      <c r="A751" s="108">
        <v>330300</v>
      </c>
      <c r="B751" s="73" t="s">
        <v>326</v>
      </c>
      <c r="C751" s="76">
        <v>675</v>
      </c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192"/>
      <c r="P751" s="192"/>
      <c r="Q751" s="76"/>
      <c r="R751" s="76"/>
      <c r="S751" s="76"/>
      <c r="T751" s="76"/>
      <c r="U751" s="76"/>
      <c r="V751" s="76"/>
      <c r="W751" s="76"/>
      <c r="X751" s="110">
        <f>SUM(C751:W751)</f>
        <v>675</v>
      </c>
    </row>
    <row r="752" spans="1:24" ht="21" customHeight="1">
      <c r="A752" s="108">
        <v>330400</v>
      </c>
      <c r="B752" s="73" t="s">
        <v>274</v>
      </c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192"/>
      <c r="P752" s="192"/>
      <c r="Q752" s="76"/>
      <c r="R752" s="76"/>
      <c r="S752" s="76"/>
      <c r="T752" s="76"/>
      <c r="U752" s="76"/>
      <c r="V752" s="76"/>
      <c r="W752" s="76"/>
      <c r="X752" s="110">
        <f>SUM(C752:W752)</f>
        <v>0</v>
      </c>
    </row>
    <row r="753" spans="1:24" ht="21" customHeight="1">
      <c r="A753" s="108">
        <v>330600</v>
      </c>
      <c r="B753" s="73" t="s">
        <v>250</v>
      </c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192"/>
      <c r="P753" s="192"/>
      <c r="Q753" s="76"/>
      <c r="R753" s="76"/>
      <c r="S753" s="76"/>
      <c r="T753" s="76"/>
      <c r="U753" s="76"/>
      <c r="V753" s="76"/>
      <c r="W753" s="76"/>
      <c r="X753" s="110">
        <f>SUM(C753:W753)</f>
        <v>0</v>
      </c>
    </row>
    <row r="754" spans="1:24" ht="21" customHeight="1">
      <c r="A754" s="108">
        <v>330700</v>
      </c>
      <c r="B754" s="73" t="s">
        <v>494</v>
      </c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192"/>
      <c r="P754" s="192"/>
      <c r="Q754" s="76"/>
      <c r="R754" s="76"/>
      <c r="S754" s="76"/>
      <c r="T754" s="76"/>
      <c r="U754" s="76"/>
      <c r="V754" s="76"/>
      <c r="W754" s="76"/>
      <c r="X754" s="110">
        <f>SUM(C754:W754)</f>
        <v>0</v>
      </c>
    </row>
    <row r="755" spans="1:24" ht="21" customHeight="1">
      <c r="A755" s="108">
        <v>330800</v>
      </c>
      <c r="B755" s="73" t="s">
        <v>251</v>
      </c>
      <c r="C755" s="76">
        <v>30664.22</v>
      </c>
      <c r="D755" s="76"/>
      <c r="E755" s="76"/>
      <c r="F755" s="76"/>
      <c r="G755" s="76"/>
      <c r="H755" s="76"/>
      <c r="I755" s="76"/>
      <c r="J755" s="76">
        <v>7000</v>
      </c>
      <c r="K755" s="76"/>
      <c r="L755" s="76"/>
      <c r="M755" s="76"/>
      <c r="N755" s="76">
        <v>28500</v>
      </c>
      <c r="O755" s="192"/>
      <c r="P755" s="192"/>
      <c r="Q755" s="76"/>
      <c r="R755" s="76"/>
      <c r="S755" s="76"/>
      <c r="T755" s="76"/>
      <c r="U755" s="76"/>
      <c r="V755" s="76"/>
      <c r="W755" s="76"/>
      <c r="X755" s="110">
        <f>SUM(C755:W755)</f>
        <v>66164.22</v>
      </c>
    </row>
    <row r="756" spans="1:24" ht="21" customHeight="1">
      <c r="A756" s="108">
        <v>330900</v>
      </c>
      <c r="B756" s="73" t="s">
        <v>253</v>
      </c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192"/>
      <c r="P756" s="192"/>
      <c r="Q756" s="76"/>
      <c r="R756" s="76"/>
      <c r="S756" s="76"/>
      <c r="T756" s="76"/>
      <c r="U756" s="76"/>
      <c r="V756" s="76"/>
      <c r="W756" s="76"/>
      <c r="X756" s="110">
        <f>SUM(C756:W756)</f>
        <v>0</v>
      </c>
    </row>
    <row r="757" spans="1:24" ht="21" customHeight="1">
      <c r="A757" s="497" t="s">
        <v>194</v>
      </c>
      <c r="B757" s="497"/>
      <c r="C757" s="496" t="s">
        <v>196</v>
      </c>
      <c r="D757" s="496"/>
      <c r="E757" s="499" t="s">
        <v>199</v>
      </c>
      <c r="F757" s="500"/>
      <c r="G757" s="496" t="s">
        <v>201</v>
      </c>
      <c r="H757" s="497"/>
      <c r="I757" s="499" t="s">
        <v>215</v>
      </c>
      <c r="J757" s="500"/>
      <c r="K757" s="392" t="s">
        <v>216</v>
      </c>
      <c r="L757" s="499" t="s">
        <v>217</v>
      </c>
      <c r="M757" s="501"/>
      <c r="N757" s="500"/>
      <c r="O757" s="499" t="s">
        <v>218</v>
      </c>
      <c r="P757" s="500"/>
      <c r="Q757" s="499" t="s">
        <v>219</v>
      </c>
      <c r="R757" s="501"/>
      <c r="S757" s="500"/>
      <c r="T757" s="496" t="s">
        <v>220</v>
      </c>
      <c r="U757" s="497"/>
      <c r="V757" s="392" t="s">
        <v>284</v>
      </c>
      <c r="W757" s="392" t="s">
        <v>221</v>
      </c>
      <c r="X757" s="498" t="s">
        <v>17</v>
      </c>
    </row>
    <row r="758" spans="1:24" ht="21" customHeight="1">
      <c r="A758" s="497" t="s">
        <v>195</v>
      </c>
      <c r="B758" s="497"/>
      <c r="C758" s="392" t="s">
        <v>197</v>
      </c>
      <c r="D758" s="392" t="s">
        <v>198</v>
      </c>
      <c r="E758" s="392" t="s">
        <v>200</v>
      </c>
      <c r="F758" s="392" t="s">
        <v>288</v>
      </c>
      <c r="G758" s="392" t="s">
        <v>202</v>
      </c>
      <c r="H758" s="392" t="s">
        <v>203</v>
      </c>
      <c r="I758" s="392" t="s">
        <v>204</v>
      </c>
      <c r="J758" s="392" t="s">
        <v>205</v>
      </c>
      <c r="K758" s="392" t="s">
        <v>206</v>
      </c>
      <c r="L758" s="392" t="s">
        <v>207</v>
      </c>
      <c r="M758" s="392" t="s">
        <v>208</v>
      </c>
      <c r="N758" s="392" t="s">
        <v>334</v>
      </c>
      <c r="O758" s="393" t="s">
        <v>471</v>
      </c>
      <c r="P758" s="393" t="s">
        <v>209</v>
      </c>
      <c r="Q758" s="392" t="s">
        <v>210</v>
      </c>
      <c r="R758" s="392" t="s">
        <v>211</v>
      </c>
      <c r="S758" s="392" t="s">
        <v>290</v>
      </c>
      <c r="T758" s="392" t="s">
        <v>212</v>
      </c>
      <c r="U758" s="392" t="s">
        <v>213</v>
      </c>
      <c r="V758" s="392" t="s">
        <v>285</v>
      </c>
      <c r="W758" s="392" t="s">
        <v>214</v>
      </c>
      <c r="X758" s="498"/>
    </row>
    <row r="759" spans="1:24" ht="21" customHeight="1">
      <c r="A759" s="300">
        <v>331000</v>
      </c>
      <c r="B759" s="303" t="s">
        <v>462</v>
      </c>
      <c r="C759" s="304"/>
      <c r="D759" s="301"/>
      <c r="E759" s="301"/>
      <c r="F759" s="301"/>
      <c r="G759" s="301"/>
      <c r="H759" s="301"/>
      <c r="I759" s="301"/>
      <c r="J759" s="301"/>
      <c r="K759" s="301"/>
      <c r="L759" s="301"/>
      <c r="M759" s="301"/>
      <c r="N759" s="301"/>
      <c r="O759" s="302"/>
      <c r="P759" s="302"/>
      <c r="Q759" s="301"/>
      <c r="R759" s="301"/>
      <c r="S759" s="301"/>
      <c r="T759" s="301"/>
      <c r="U759" s="301"/>
      <c r="V759" s="301"/>
      <c r="W759" s="301"/>
      <c r="X759" s="110">
        <f>SUM(C759:W759)</f>
        <v>0</v>
      </c>
    </row>
    <row r="760" spans="1:24" ht="21" customHeight="1">
      <c r="A760" s="108">
        <v>331200</v>
      </c>
      <c r="B760" s="73" t="s">
        <v>254</v>
      </c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192"/>
      <c r="P760" s="192"/>
      <c r="Q760" s="76"/>
      <c r="R760" s="76"/>
      <c r="S760" s="76"/>
      <c r="T760" s="76"/>
      <c r="U760" s="76"/>
      <c r="V760" s="76"/>
      <c r="W760" s="76"/>
      <c r="X760" s="110">
        <f>SUM(C760:W760)</f>
        <v>0</v>
      </c>
    </row>
    <row r="761" spans="1:24" ht="21" customHeight="1">
      <c r="A761" s="108">
        <v>331300</v>
      </c>
      <c r="B761" s="73" t="s">
        <v>255</v>
      </c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192"/>
      <c r="P761" s="192"/>
      <c r="Q761" s="76"/>
      <c r="R761" s="76"/>
      <c r="S761" s="76"/>
      <c r="T761" s="76"/>
      <c r="U761" s="76"/>
      <c r="V761" s="76"/>
      <c r="W761" s="76"/>
      <c r="X761" s="110">
        <f>SUM(C761:W761)</f>
        <v>0</v>
      </c>
    </row>
    <row r="762" spans="1:24" ht="21" customHeight="1">
      <c r="A762" s="108">
        <v>331400</v>
      </c>
      <c r="B762" s="73" t="s">
        <v>252</v>
      </c>
      <c r="C762" s="76">
        <v>10360</v>
      </c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192"/>
      <c r="P762" s="192"/>
      <c r="Q762" s="76"/>
      <c r="R762" s="76"/>
      <c r="S762" s="76"/>
      <c r="T762" s="76"/>
      <c r="U762" s="76"/>
      <c r="V762" s="76"/>
      <c r="W762" s="76"/>
      <c r="X762" s="110">
        <f>SUM(C762:W762)</f>
        <v>10360</v>
      </c>
    </row>
    <row r="763" spans="1:24" ht="21" customHeight="1">
      <c r="A763" s="108">
        <v>331500</v>
      </c>
      <c r="B763" s="73" t="s">
        <v>256</v>
      </c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192"/>
      <c r="P763" s="192"/>
      <c r="Q763" s="76"/>
      <c r="R763" s="76"/>
      <c r="S763" s="76"/>
      <c r="T763" s="76"/>
      <c r="U763" s="76"/>
      <c r="V763" s="76"/>
      <c r="W763" s="76"/>
      <c r="X763" s="110">
        <f>SUM(C763:W763)</f>
        <v>0</v>
      </c>
    </row>
    <row r="764" spans="1:24" ht="21" customHeight="1">
      <c r="A764" s="111">
        <v>331700</v>
      </c>
      <c r="B764" s="74" t="s">
        <v>257</v>
      </c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193"/>
      <c r="P764" s="193"/>
      <c r="Q764" s="87"/>
      <c r="R764" s="87"/>
      <c r="S764" s="87"/>
      <c r="T764" s="87"/>
      <c r="U764" s="87"/>
      <c r="V764" s="87"/>
      <c r="W764" s="87"/>
      <c r="X764" s="110">
        <f>SUM(C764:W764)</f>
        <v>0</v>
      </c>
    </row>
    <row r="765" spans="1:24" ht="21" customHeight="1">
      <c r="A765" s="490" t="s">
        <v>230</v>
      </c>
      <c r="B765" s="491"/>
      <c r="C765" s="110">
        <f aca="true" t="shared" si="195" ref="C765:W765">SUM(C749:C764)</f>
        <v>58879.22</v>
      </c>
      <c r="D765" s="110">
        <f t="shared" si="195"/>
        <v>0</v>
      </c>
      <c r="E765" s="110">
        <f t="shared" si="195"/>
        <v>0</v>
      </c>
      <c r="F765" s="110">
        <f t="shared" si="195"/>
        <v>0</v>
      </c>
      <c r="G765" s="110">
        <f t="shared" si="195"/>
        <v>0</v>
      </c>
      <c r="H765" s="110">
        <f t="shared" si="195"/>
        <v>0</v>
      </c>
      <c r="I765" s="110">
        <f t="shared" si="195"/>
        <v>0</v>
      </c>
      <c r="J765" s="110">
        <f t="shared" si="195"/>
        <v>7000</v>
      </c>
      <c r="K765" s="110">
        <f t="shared" si="195"/>
        <v>0</v>
      </c>
      <c r="L765" s="110">
        <f t="shared" si="195"/>
        <v>5590</v>
      </c>
      <c r="M765" s="110">
        <f t="shared" si="195"/>
        <v>2900</v>
      </c>
      <c r="N765" s="110">
        <f t="shared" si="195"/>
        <v>28500</v>
      </c>
      <c r="O765" s="110">
        <f t="shared" si="195"/>
        <v>0</v>
      </c>
      <c r="P765" s="110">
        <f t="shared" si="195"/>
        <v>0</v>
      </c>
      <c r="Q765" s="110">
        <f t="shared" si="195"/>
        <v>0</v>
      </c>
      <c r="R765" s="110">
        <f t="shared" si="195"/>
        <v>0</v>
      </c>
      <c r="S765" s="110">
        <f t="shared" si="195"/>
        <v>0</v>
      </c>
      <c r="T765" s="110">
        <f t="shared" si="195"/>
        <v>0</v>
      </c>
      <c r="U765" s="110">
        <f t="shared" si="195"/>
        <v>0</v>
      </c>
      <c r="V765" s="110">
        <f t="shared" si="195"/>
        <v>7500</v>
      </c>
      <c r="W765" s="110">
        <f t="shared" si="195"/>
        <v>0</v>
      </c>
      <c r="X765" s="110">
        <f>SUM(X749:X764)</f>
        <v>110369.22</v>
      </c>
    </row>
    <row r="766" spans="1:24" ht="21" customHeight="1">
      <c r="A766" s="492" t="s">
        <v>231</v>
      </c>
      <c r="B766" s="493"/>
      <c r="C766" s="114">
        <f>+C765+C650</f>
        <v>313856.54</v>
      </c>
      <c r="D766" s="114">
        <f aca="true" t="shared" si="196" ref="D766:X766">+D765+D650</f>
        <v>74040</v>
      </c>
      <c r="E766" s="114">
        <f t="shared" si="196"/>
        <v>0</v>
      </c>
      <c r="F766" s="114">
        <f t="shared" si="196"/>
        <v>0</v>
      </c>
      <c r="G766" s="114">
        <f t="shared" si="196"/>
        <v>0</v>
      </c>
      <c r="H766" s="114">
        <f t="shared" si="196"/>
        <v>0</v>
      </c>
      <c r="I766" s="114">
        <f t="shared" si="196"/>
        <v>0</v>
      </c>
      <c r="J766" s="114">
        <f t="shared" si="196"/>
        <v>46130</v>
      </c>
      <c r="K766" s="114">
        <f t="shared" si="196"/>
        <v>0</v>
      </c>
      <c r="L766" s="114">
        <f t="shared" si="196"/>
        <v>33090</v>
      </c>
      <c r="M766" s="114">
        <f t="shared" si="196"/>
        <v>2900</v>
      </c>
      <c r="N766" s="114">
        <f t="shared" si="196"/>
        <v>201240</v>
      </c>
      <c r="O766" s="114">
        <f t="shared" si="196"/>
        <v>0</v>
      </c>
      <c r="P766" s="114">
        <f t="shared" si="196"/>
        <v>0</v>
      </c>
      <c r="Q766" s="114">
        <f t="shared" si="196"/>
        <v>24870</v>
      </c>
      <c r="R766" s="114">
        <f t="shared" si="196"/>
        <v>0</v>
      </c>
      <c r="S766" s="114">
        <f t="shared" si="196"/>
        <v>0</v>
      </c>
      <c r="T766" s="114">
        <f t="shared" si="196"/>
        <v>0</v>
      </c>
      <c r="U766" s="114">
        <f t="shared" si="196"/>
        <v>24200</v>
      </c>
      <c r="V766" s="114">
        <f t="shared" si="196"/>
        <v>56305</v>
      </c>
      <c r="W766" s="114">
        <f t="shared" si="196"/>
        <v>0</v>
      </c>
      <c r="X766" s="114">
        <f t="shared" si="196"/>
        <v>776631.5399999999</v>
      </c>
    </row>
    <row r="767" spans="1:24" ht="21" customHeight="1">
      <c r="A767" s="488" t="s">
        <v>275</v>
      </c>
      <c r="B767" s="489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95"/>
      <c r="P767" s="195"/>
      <c r="Q767" s="115"/>
      <c r="R767" s="115"/>
      <c r="S767" s="115"/>
      <c r="T767" s="115"/>
      <c r="U767" s="115"/>
      <c r="V767" s="115"/>
      <c r="W767" s="115"/>
      <c r="X767" s="116">
        <f>SUM(C767:W767)</f>
        <v>0</v>
      </c>
    </row>
    <row r="768" spans="1:24" ht="21" customHeight="1">
      <c r="A768" s="108">
        <v>340100</v>
      </c>
      <c r="B768" s="73" t="s">
        <v>258</v>
      </c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192"/>
      <c r="P768" s="192"/>
      <c r="Q768" s="76"/>
      <c r="R768" s="76"/>
      <c r="S768" s="76"/>
      <c r="T768" s="76"/>
      <c r="U768" s="76"/>
      <c r="V768" s="76"/>
      <c r="W768" s="76"/>
      <c r="X768" s="110">
        <f>SUM(C768:W768)</f>
        <v>0</v>
      </c>
    </row>
    <row r="769" spans="1:24" ht="21" customHeight="1">
      <c r="A769" s="108">
        <v>340300</v>
      </c>
      <c r="B769" s="73" t="s">
        <v>259</v>
      </c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192"/>
      <c r="P769" s="192"/>
      <c r="Q769" s="76"/>
      <c r="R769" s="76"/>
      <c r="S769" s="76"/>
      <c r="T769" s="76"/>
      <c r="U769" s="76"/>
      <c r="V769" s="76"/>
      <c r="W769" s="76"/>
      <c r="X769" s="110">
        <f>SUM(C769:W769)</f>
        <v>0</v>
      </c>
    </row>
    <row r="770" spans="1:24" ht="21" customHeight="1">
      <c r="A770" s="108">
        <v>340400</v>
      </c>
      <c r="B770" s="73" t="s">
        <v>260</v>
      </c>
      <c r="C770" s="76">
        <v>5701</v>
      </c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192"/>
      <c r="P770" s="192"/>
      <c r="Q770" s="76"/>
      <c r="R770" s="76"/>
      <c r="S770" s="76"/>
      <c r="T770" s="76"/>
      <c r="U770" s="76"/>
      <c r="V770" s="76"/>
      <c r="W770" s="76"/>
      <c r="X770" s="110">
        <f>SUM(C770:W770)</f>
        <v>5701</v>
      </c>
    </row>
    <row r="771" spans="1:24" ht="21" customHeight="1">
      <c r="A771" s="111">
        <v>340500</v>
      </c>
      <c r="B771" s="74" t="s">
        <v>261</v>
      </c>
      <c r="C771" s="76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193"/>
      <c r="P771" s="193"/>
      <c r="Q771" s="87"/>
      <c r="R771" s="87"/>
      <c r="S771" s="87"/>
      <c r="T771" s="87"/>
      <c r="U771" s="87"/>
      <c r="V771" s="87"/>
      <c r="W771" s="87"/>
      <c r="X771" s="113">
        <f>SUM(C771:W771)</f>
        <v>0</v>
      </c>
    </row>
    <row r="772" spans="1:24" ht="21" customHeight="1">
      <c r="A772" s="490" t="s">
        <v>230</v>
      </c>
      <c r="B772" s="491"/>
      <c r="C772" s="110">
        <f>SUM(C768:C771)</f>
        <v>5701</v>
      </c>
      <c r="D772" s="110">
        <f aca="true" t="shared" si="197" ref="D772:X772">SUM(D768:D771)</f>
        <v>0</v>
      </c>
      <c r="E772" s="110">
        <f t="shared" si="197"/>
        <v>0</v>
      </c>
      <c r="F772" s="110">
        <f t="shared" si="197"/>
        <v>0</v>
      </c>
      <c r="G772" s="110">
        <f t="shared" si="197"/>
        <v>0</v>
      </c>
      <c r="H772" s="110">
        <f t="shared" si="197"/>
        <v>0</v>
      </c>
      <c r="I772" s="110">
        <f t="shared" si="197"/>
        <v>0</v>
      </c>
      <c r="J772" s="110">
        <f t="shared" si="197"/>
        <v>0</v>
      </c>
      <c r="K772" s="110">
        <f t="shared" si="197"/>
        <v>0</v>
      </c>
      <c r="L772" s="110">
        <f t="shared" si="197"/>
        <v>0</v>
      </c>
      <c r="M772" s="110">
        <f t="shared" si="197"/>
        <v>0</v>
      </c>
      <c r="N772" s="110">
        <f t="shared" si="197"/>
        <v>0</v>
      </c>
      <c r="O772" s="110">
        <f t="shared" si="197"/>
        <v>0</v>
      </c>
      <c r="P772" s="110">
        <f t="shared" si="197"/>
        <v>0</v>
      </c>
      <c r="Q772" s="110">
        <f t="shared" si="197"/>
        <v>0</v>
      </c>
      <c r="R772" s="110">
        <f t="shared" si="197"/>
        <v>0</v>
      </c>
      <c r="S772" s="110">
        <f t="shared" si="197"/>
        <v>0</v>
      </c>
      <c r="T772" s="110">
        <f t="shared" si="197"/>
        <v>0</v>
      </c>
      <c r="U772" s="110">
        <f t="shared" si="197"/>
        <v>0</v>
      </c>
      <c r="V772" s="110">
        <f t="shared" si="197"/>
        <v>0</v>
      </c>
      <c r="W772" s="110">
        <f t="shared" si="197"/>
        <v>0</v>
      </c>
      <c r="X772" s="110">
        <f t="shared" si="197"/>
        <v>5701</v>
      </c>
    </row>
    <row r="773" spans="1:24" ht="21" customHeight="1">
      <c r="A773" s="492" t="s">
        <v>231</v>
      </c>
      <c r="B773" s="493"/>
      <c r="C773" s="114">
        <f>+C772+C657</f>
        <v>207521.8</v>
      </c>
      <c r="D773" s="114">
        <f aca="true" t="shared" si="198" ref="D773:X773">+D772+D657</f>
        <v>0</v>
      </c>
      <c r="E773" s="114">
        <f t="shared" si="198"/>
        <v>0</v>
      </c>
      <c r="F773" s="114">
        <f t="shared" si="198"/>
        <v>0</v>
      </c>
      <c r="G773" s="114">
        <f t="shared" si="198"/>
        <v>0</v>
      </c>
      <c r="H773" s="114">
        <f t="shared" si="198"/>
        <v>0</v>
      </c>
      <c r="I773" s="114">
        <f t="shared" si="198"/>
        <v>0</v>
      </c>
      <c r="J773" s="114">
        <f t="shared" si="198"/>
        <v>0</v>
      </c>
      <c r="K773" s="114">
        <f t="shared" si="198"/>
        <v>0</v>
      </c>
      <c r="L773" s="114">
        <f t="shared" si="198"/>
        <v>0</v>
      </c>
      <c r="M773" s="114">
        <f t="shared" si="198"/>
        <v>0</v>
      </c>
      <c r="N773" s="114">
        <f t="shared" si="198"/>
        <v>0</v>
      </c>
      <c r="O773" s="114">
        <f t="shared" si="198"/>
        <v>0</v>
      </c>
      <c r="P773" s="114">
        <f t="shared" si="198"/>
        <v>0</v>
      </c>
      <c r="Q773" s="114">
        <f t="shared" si="198"/>
        <v>0</v>
      </c>
      <c r="R773" s="114">
        <f t="shared" si="198"/>
        <v>0</v>
      </c>
      <c r="S773" s="114">
        <f t="shared" si="198"/>
        <v>0</v>
      </c>
      <c r="T773" s="114">
        <f t="shared" si="198"/>
        <v>0</v>
      </c>
      <c r="U773" s="114">
        <f t="shared" si="198"/>
        <v>0</v>
      </c>
      <c r="V773" s="114">
        <f t="shared" si="198"/>
        <v>319768.59</v>
      </c>
      <c r="W773" s="114">
        <f t="shared" si="198"/>
        <v>0</v>
      </c>
      <c r="X773" s="114">
        <f t="shared" si="198"/>
        <v>527290.3899999999</v>
      </c>
    </row>
    <row r="774" spans="1:24" ht="21" customHeight="1">
      <c r="A774" s="488" t="s">
        <v>276</v>
      </c>
      <c r="B774" s="489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95"/>
      <c r="P774" s="195"/>
      <c r="Q774" s="115"/>
      <c r="R774" s="115"/>
      <c r="S774" s="115"/>
      <c r="T774" s="115"/>
      <c r="U774" s="115"/>
      <c r="V774" s="115"/>
      <c r="W774" s="115"/>
      <c r="X774" s="116">
        <f aca="true" t="shared" si="199" ref="X774:X786">SUM(C774:W774)</f>
        <v>0</v>
      </c>
    </row>
    <row r="775" spans="1:24" ht="21" customHeight="1">
      <c r="A775" s="108">
        <v>410400</v>
      </c>
      <c r="B775" s="73" t="s">
        <v>262</v>
      </c>
      <c r="C775" s="76">
        <v>40350</v>
      </c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192"/>
      <c r="P775" s="192"/>
      <c r="Q775" s="76"/>
      <c r="R775" s="76"/>
      <c r="S775" s="76"/>
      <c r="T775" s="76"/>
      <c r="U775" s="76"/>
      <c r="V775" s="76"/>
      <c r="W775" s="76"/>
      <c r="X775" s="110">
        <f t="shared" si="199"/>
        <v>40350</v>
      </c>
    </row>
    <row r="776" spans="1:24" ht="21" customHeight="1">
      <c r="A776" s="108">
        <v>410200</v>
      </c>
      <c r="B776" s="73" t="s">
        <v>310</v>
      </c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192"/>
      <c r="P776" s="192"/>
      <c r="Q776" s="76"/>
      <c r="R776" s="76"/>
      <c r="S776" s="76"/>
      <c r="T776" s="76"/>
      <c r="U776" s="76"/>
      <c r="V776" s="76"/>
      <c r="W776" s="76"/>
      <c r="X776" s="110">
        <f t="shared" si="199"/>
        <v>0</v>
      </c>
    </row>
    <row r="777" spans="1:24" ht="21" customHeight="1">
      <c r="A777" s="108">
        <v>410300</v>
      </c>
      <c r="B777" s="73" t="s">
        <v>263</v>
      </c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192"/>
      <c r="P777" s="192"/>
      <c r="Q777" s="76"/>
      <c r="R777" s="76"/>
      <c r="S777" s="76"/>
      <c r="T777" s="76"/>
      <c r="U777" s="76"/>
      <c r="V777" s="76"/>
      <c r="W777" s="76"/>
      <c r="X777" s="110">
        <f t="shared" si="199"/>
        <v>0</v>
      </c>
    </row>
    <row r="778" spans="1:24" ht="21" customHeight="1">
      <c r="A778" s="108">
        <v>410400</v>
      </c>
      <c r="B778" s="73" t="s">
        <v>311</v>
      </c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193"/>
      <c r="P778" s="193"/>
      <c r="Q778" s="87"/>
      <c r="R778" s="87"/>
      <c r="S778" s="87"/>
      <c r="T778" s="87"/>
      <c r="U778" s="87"/>
      <c r="V778" s="87"/>
      <c r="W778" s="87"/>
      <c r="X778" s="110">
        <f t="shared" si="199"/>
        <v>0</v>
      </c>
    </row>
    <row r="779" spans="1:24" ht="21" customHeight="1">
      <c r="A779" s="108">
        <v>410500</v>
      </c>
      <c r="B779" s="73" t="s">
        <v>312</v>
      </c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193"/>
      <c r="P779" s="193"/>
      <c r="Q779" s="87"/>
      <c r="R779" s="87"/>
      <c r="S779" s="87"/>
      <c r="T779" s="87"/>
      <c r="U779" s="87"/>
      <c r="V779" s="87"/>
      <c r="W779" s="87"/>
      <c r="X779" s="110">
        <f t="shared" si="199"/>
        <v>0</v>
      </c>
    </row>
    <row r="780" spans="1:24" ht="21" customHeight="1">
      <c r="A780" s="108">
        <v>410600</v>
      </c>
      <c r="B780" s="73" t="s">
        <v>313</v>
      </c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193"/>
      <c r="P780" s="193"/>
      <c r="Q780" s="87"/>
      <c r="R780" s="87"/>
      <c r="S780" s="87"/>
      <c r="T780" s="87"/>
      <c r="U780" s="87"/>
      <c r="V780" s="87"/>
      <c r="W780" s="87"/>
      <c r="X780" s="110">
        <f t="shared" si="199"/>
        <v>0</v>
      </c>
    </row>
    <row r="781" spans="1:24" ht="21" customHeight="1">
      <c r="A781" s="108">
        <v>410700</v>
      </c>
      <c r="B781" s="73" t="s">
        <v>264</v>
      </c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192"/>
      <c r="P781" s="192"/>
      <c r="Q781" s="76"/>
      <c r="R781" s="76"/>
      <c r="S781" s="76"/>
      <c r="T781" s="76"/>
      <c r="U781" s="76"/>
      <c r="V781" s="76"/>
      <c r="W781" s="76"/>
      <c r="X781" s="110">
        <f t="shared" si="199"/>
        <v>0</v>
      </c>
    </row>
    <row r="782" spans="1:24" ht="21" customHeight="1">
      <c r="A782" s="108">
        <v>410800</v>
      </c>
      <c r="B782" s="73" t="s">
        <v>314</v>
      </c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193"/>
      <c r="P782" s="193"/>
      <c r="Q782" s="87"/>
      <c r="R782" s="87"/>
      <c r="S782" s="87"/>
      <c r="T782" s="87"/>
      <c r="U782" s="87"/>
      <c r="V782" s="87"/>
      <c r="W782" s="87"/>
      <c r="X782" s="110">
        <f t="shared" si="199"/>
        <v>0</v>
      </c>
    </row>
    <row r="783" spans="1:24" ht="21" customHeight="1">
      <c r="A783" s="108">
        <v>410900</v>
      </c>
      <c r="B783" s="73" t="s">
        <v>347</v>
      </c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193"/>
      <c r="P783" s="193"/>
      <c r="Q783" s="87"/>
      <c r="R783" s="87"/>
      <c r="S783" s="87"/>
      <c r="T783" s="87"/>
      <c r="U783" s="87"/>
      <c r="V783" s="87"/>
      <c r="W783" s="87"/>
      <c r="X783" s="110">
        <f t="shared" si="199"/>
        <v>0</v>
      </c>
    </row>
    <row r="784" spans="1:24" ht="21" customHeight="1">
      <c r="A784" s="108">
        <v>411000</v>
      </c>
      <c r="B784" s="73" t="s">
        <v>449</v>
      </c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193"/>
      <c r="P784" s="193"/>
      <c r="Q784" s="87"/>
      <c r="R784" s="87"/>
      <c r="S784" s="87"/>
      <c r="T784" s="87"/>
      <c r="U784" s="87"/>
      <c r="V784" s="87"/>
      <c r="W784" s="87"/>
      <c r="X784" s="110">
        <f t="shared" si="199"/>
        <v>0</v>
      </c>
    </row>
    <row r="785" spans="1:24" ht="21" customHeight="1" hidden="1">
      <c r="A785" s="108">
        <v>411100</v>
      </c>
      <c r="B785" s="73" t="s">
        <v>371</v>
      </c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193"/>
      <c r="P785" s="193"/>
      <c r="Q785" s="87"/>
      <c r="R785" s="87"/>
      <c r="S785" s="87"/>
      <c r="T785" s="87"/>
      <c r="U785" s="87"/>
      <c r="V785" s="87"/>
      <c r="W785" s="87"/>
      <c r="X785" s="110">
        <f t="shared" si="199"/>
        <v>0</v>
      </c>
    </row>
    <row r="786" spans="1:24" ht="21" customHeight="1" hidden="1">
      <c r="A786" s="108">
        <v>411300</v>
      </c>
      <c r="B786" s="73" t="s">
        <v>450</v>
      </c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193"/>
      <c r="P786" s="193"/>
      <c r="Q786" s="87"/>
      <c r="R786" s="87"/>
      <c r="S786" s="87"/>
      <c r="T786" s="87"/>
      <c r="U786" s="87"/>
      <c r="V786" s="87"/>
      <c r="W786" s="87"/>
      <c r="X786" s="110">
        <f t="shared" si="199"/>
        <v>0</v>
      </c>
    </row>
    <row r="787" spans="1:24" ht="21" customHeight="1" hidden="1">
      <c r="A787" s="108">
        <v>411600</v>
      </c>
      <c r="B787" s="73" t="s">
        <v>315</v>
      </c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192"/>
      <c r="P787" s="192"/>
      <c r="Q787" s="76"/>
      <c r="R787" s="76"/>
      <c r="S787" s="76"/>
      <c r="T787" s="76"/>
      <c r="U787" s="76"/>
      <c r="V787" s="76"/>
      <c r="W787" s="76"/>
      <c r="X787" s="110">
        <f>SUM(C787:W787)</f>
        <v>0</v>
      </c>
    </row>
    <row r="788" spans="1:24" ht="21" customHeight="1">
      <c r="A788" s="108">
        <v>411800</v>
      </c>
      <c r="B788" s="73" t="s">
        <v>265</v>
      </c>
      <c r="C788" s="76">
        <v>5467.7</v>
      </c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>
        <v>9850</v>
      </c>
      <c r="O788" s="192"/>
      <c r="P788" s="192"/>
      <c r="Q788" s="76"/>
      <c r="R788" s="76"/>
      <c r="S788" s="76"/>
      <c r="T788" s="76"/>
      <c r="U788" s="76"/>
      <c r="V788" s="76">
        <v>0</v>
      </c>
      <c r="W788" s="76"/>
      <c r="X788" s="110">
        <f>SUM(C788:W788)</f>
        <v>15317.7</v>
      </c>
    </row>
    <row r="789" spans="1:24" ht="21" customHeight="1">
      <c r="A789" s="490" t="s">
        <v>230</v>
      </c>
      <c r="B789" s="491"/>
      <c r="C789" s="110">
        <f>SUM(C775:C788)</f>
        <v>45817.7</v>
      </c>
      <c r="D789" s="110">
        <f aca="true" t="shared" si="200" ref="D789:O789">SUM(D775:D788)</f>
        <v>0</v>
      </c>
      <c r="E789" s="110">
        <f t="shared" si="200"/>
        <v>0</v>
      </c>
      <c r="F789" s="110">
        <f t="shared" si="200"/>
        <v>0</v>
      </c>
      <c r="G789" s="110">
        <f t="shared" si="200"/>
        <v>0</v>
      </c>
      <c r="H789" s="110">
        <f t="shared" si="200"/>
        <v>0</v>
      </c>
      <c r="I789" s="110">
        <f t="shared" si="200"/>
        <v>0</v>
      </c>
      <c r="J789" s="110">
        <f t="shared" si="200"/>
        <v>0</v>
      </c>
      <c r="K789" s="110">
        <f t="shared" si="200"/>
        <v>0</v>
      </c>
      <c r="L789" s="110">
        <f t="shared" si="200"/>
        <v>0</v>
      </c>
      <c r="M789" s="110">
        <f t="shared" si="200"/>
        <v>0</v>
      </c>
      <c r="N789" s="110">
        <f t="shared" si="200"/>
        <v>9850</v>
      </c>
      <c r="O789" s="110">
        <f t="shared" si="200"/>
        <v>0</v>
      </c>
      <c r="P789" s="194">
        <f>SUM(P775:P788)</f>
        <v>0</v>
      </c>
      <c r="Q789" s="110">
        <f>SUM(Q775:Q788)</f>
        <v>0</v>
      </c>
      <c r="R789" s="110">
        <f>SUM(R775:R788)</f>
        <v>0</v>
      </c>
      <c r="S789" s="110"/>
      <c r="T789" s="110">
        <f>SUM(T775:T788)</f>
        <v>0</v>
      </c>
      <c r="U789" s="110">
        <f>SUM(U775:U788)</f>
        <v>0</v>
      </c>
      <c r="V789" s="110">
        <f>SUM(V775:V788)</f>
        <v>0</v>
      </c>
      <c r="W789" s="110">
        <f>SUM(W775:W788)</f>
        <v>0</v>
      </c>
      <c r="X789" s="110">
        <f>SUM(C789:W789)</f>
        <v>55667.7</v>
      </c>
    </row>
    <row r="790" spans="1:24" ht="21" customHeight="1">
      <c r="A790" s="492" t="s">
        <v>231</v>
      </c>
      <c r="B790" s="493"/>
      <c r="C790" s="114">
        <f>+C789+C674</f>
        <v>204237.7</v>
      </c>
      <c r="D790" s="114">
        <f aca="true" t="shared" si="201" ref="D790:X790">+D789+D674</f>
        <v>0</v>
      </c>
      <c r="E790" s="114">
        <f t="shared" si="201"/>
        <v>0</v>
      </c>
      <c r="F790" s="114">
        <f t="shared" si="201"/>
        <v>0</v>
      </c>
      <c r="G790" s="114">
        <f t="shared" si="201"/>
        <v>0</v>
      </c>
      <c r="H790" s="114">
        <f t="shared" si="201"/>
        <v>0</v>
      </c>
      <c r="I790" s="114">
        <f t="shared" si="201"/>
        <v>0</v>
      </c>
      <c r="J790" s="114">
        <f t="shared" si="201"/>
        <v>0</v>
      </c>
      <c r="K790" s="114">
        <f t="shared" si="201"/>
        <v>0</v>
      </c>
      <c r="L790" s="114">
        <f t="shared" si="201"/>
        <v>47860</v>
      </c>
      <c r="M790" s="114">
        <f t="shared" si="201"/>
        <v>0</v>
      </c>
      <c r="N790" s="114">
        <f t="shared" si="201"/>
        <v>101800</v>
      </c>
      <c r="O790" s="114">
        <f t="shared" si="201"/>
        <v>0</v>
      </c>
      <c r="P790" s="114">
        <f t="shared" si="201"/>
        <v>0</v>
      </c>
      <c r="Q790" s="114">
        <f t="shared" si="201"/>
        <v>0</v>
      </c>
      <c r="R790" s="114">
        <f t="shared" si="201"/>
        <v>0</v>
      </c>
      <c r="S790" s="114">
        <f t="shared" si="201"/>
        <v>0</v>
      </c>
      <c r="T790" s="114">
        <f t="shared" si="201"/>
        <v>0</v>
      </c>
      <c r="U790" s="114">
        <f t="shared" si="201"/>
        <v>0</v>
      </c>
      <c r="V790" s="114">
        <f t="shared" si="201"/>
        <v>49000</v>
      </c>
      <c r="W790" s="114">
        <f t="shared" si="201"/>
        <v>0</v>
      </c>
      <c r="X790" s="114">
        <f t="shared" si="201"/>
        <v>402897.7</v>
      </c>
    </row>
    <row r="791" spans="1:24" ht="21" customHeight="1">
      <c r="A791" s="497" t="s">
        <v>194</v>
      </c>
      <c r="B791" s="497"/>
      <c r="C791" s="496" t="s">
        <v>196</v>
      </c>
      <c r="D791" s="496"/>
      <c r="E791" s="499" t="s">
        <v>199</v>
      </c>
      <c r="F791" s="500"/>
      <c r="G791" s="496" t="s">
        <v>201</v>
      </c>
      <c r="H791" s="497"/>
      <c r="I791" s="499" t="s">
        <v>215</v>
      </c>
      <c r="J791" s="500"/>
      <c r="K791" s="392" t="s">
        <v>216</v>
      </c>
      <c r="L791" s="499" t="s">
        <v>217</v>
      </c>
      <c r="M791" s="501"/>
      <c r="N791" s="500"/>
      <c r="O791" s="499" t="s">
        <v>218</v>
      </c>
      <c r="P791" s="500"/>
      <c r="Q791" s="499" t="s">
        <v>219</v>
      </c>
      <c r="R791" s="501"/>
      <c r="S791" s="500"/>
      <c r="T791" s="496" t="s">
        <v>220</v>
      </c>
      <c r="U791" s="497"/>
      <c r="V791" s="392" t="s">
        <v>284</v>
      </c>
      <c r="W791" s="392" t="s">
        <v>221</v>
      </c>
      <c r="X791" s="498" t="s">
        <v>17</v>
      </c>
    </row>
    <row r="792" spans="1:24" ht="21" customHeight="1">
      <c r="A792" s="497" t="s">
        <v>195</v>
      </c>
      <c r="B792" s="497"/>
      <c r="C792" s="392" t="s">
        <v>197</v>
      </c>
      <c r="D792" s="392" t="s">
        <v>198</v>
      </c>
      <c r="E792" s="392" t="s">
        <v>200</v>
      </c>
      <c r="F792" s="392" t="s">
        <v>288</v>
      </c>
      <c r="G792" s="392" t="s">
        <v>202</v>
      </c>
      <c r="H792" s="392" t="s">
        <v>203</v>
      </c>
      <c r="I792" s="392" t="s">
        <v>204</v>
      </c>
      <c r="J792" s="392" t="s">
        <v>205</v>
      </c>
      <c r="K792" s="392" t="s">
        <v>206</v>
      </c>
      <c r="L792" s="392" t="s">
        <v>207</v>
      </c>
      <c r="M792" s="392" t="s">
        <v>208</v>
      </c>
      <c r="N792" s="392" t="s">
        <v>334</v>
      </c>
      <c r="O792" s="393" t="s">
        <v>471</v>
      </c>
      <c r="P792" s="393" t="s">
        <v>209</v>
      </c>
      <c r="Q792" s="392" t="s">
        <v>210</v>
      </c>
      <c r="R792" s="392" t="s">
        <v>211</v>
      </c>
      <c r="S792" s="392" t="s">
        <v>290</v>
      </c>
      <c r="T792" s="392" t="s">
        <v>212</v>
      </c>
      <c r="U792" s="392" t="s">
        <v>213</v>
      </c>
      <c r="V792" s="392" t="s">
        <v>285</v>
      </c>
      <c r="W792" s="392" t="s">
        <v>214</v>
      </c>
      <c r="X792" s="498"/>
    </row>
    <row r="793" spans="1:24" ht="21" customHeight="1">
      <c r="A793" s="488" t="s">
        <v>277</v>
      </c>
      <c r="B793" s="489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95"/>
      <c r="P793" s="195"/>
      <c r="Q793" s="115"/>
      <c r="R793" s="115"/>
      <c r="S793" s="115"/>
      <c r="T793" s="115"/>
      <c r="U793" s="115"/>
      <c r="V793" s="115"/>
      <c r="W793" s="115"/>
      <c r="X793" s="116">
        <f>SUM(C793:W793)</f>
        <v>0</v>
      </c>
    </row>
    <row r="794" spans="1:24" ht="21" customHeight="1">
      <c r="A794" s="108">
        <v>429000</v>
      </c>
      <c r="B794" s="109" t="s">
        <v>10</v>
      </c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192"/>
      <c r="P794" s="192"/>
      <c r="Q794" s="76"/>
      <c r="R794" s="76"/>
      <c r="S794" s="76"/>
      <c r="T794" s="76"/>
      <c r="U794" s="76"/>
      <c r="V794" s="76"/>
      <c r="W794" s="76"/>
      <c r="X794" s="110">
        <f>SUM(C794:W794)</f>
        <v>0</v>
      </c>
    </row>
    <row r="795" spans="1:24" ht="21" customHeight="1">
      <c r="A795" s="111">
        <v>421000</v>
      </c>
      <c r="B795" s="112" t="s">
        <v>281</v>
      </c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>
        <v>98000</v>
      </c>
      <c r="N795" s="87"/>
      <c r="O795" s="193"/>
      <c r="P795" s="193"/>
      <c r="Q795" s="87"/>
      <c r="R795" s="87"/>
      <c r="S795" s="87"/>
      <c r="T795" s="87"/>
      <c r="U795" s="87"/>
      <c r="V795" s="87"/>
      <c r="W795" s="87"/>
      <c r="X795" s="113">
        <f>SUM(C795:W795)</f>
        <v>98000</v>
      </c>
    </row>
    <row r="796" spans="1:24" ht="21" customHeight="1">
      <c r="A796" s="490" t="s">
        <v>230</v>
      </c>
      <c r="B796" s="491"/>
      <c r="C796" s="110">
        <f>SUM(C794:C795)</f>
        <v>0</v>
      </c>
      <c r="D796" s="110">
        <f aca="true" t="shared" si="202" ref="D796:V796">SUM(D794:D795)</f>
        <v>0</v>
      </c>
      <c r="E796" s="110">
        <f t="shared" si="202"/>
        <v>0</v>
      </c>
      <c r="F796" s="110">
        <f t="shared" si="202"/>
        <v>0</v>
      </c>
      <c r="G796" s="110">
        <f t="shared" si="202"/>
        <v>0</v>
      </c>
      <c r="H796" s="110">
        <f t="shared" si="202"/>
        <v>0</v>
      </c>
      <c r="I796" s="110">
        <f t="shared" si="202"/>
        <v>0</v>
      </c>
      <c r="J796" s="110">
        <f t="shared" si="202"/>
        <v>0</v>
      </c>
      <c r="K796" s="110">
        <f t="shared" si="202"/>
        <v>0</v>
      </c>
      <c r="L796" s="110">
        <f t="shared" si="202"/>
        <v>0</v>
      </c>
      <c r="M796" s="110">
        <f t="shared" si="202"/>
        <v>98000</v>
      </c>
      <c r="N796" s="110">
        <f t="shared" si="202"/>
        <v>0</v>
      </c>
      <c r="O796" s="110">
        <f t="shared" si="202"/>
        <v>0</v>
      </c>
      <c r="P796" s="110">
        <f t="shared" si="202"/>
        <v>0</v>
      </c>
      <c r="Q796" s="110">
        <f t="shared" si="202"/>
        <v>0</v>
      </c>
      <c r="R796" s="110">
        <f t="shared" si="202"/>
        <v>0</v>
      </c>
      <c r="S796" s="110">
        <f t="shared" si="202"/>
        <v>0</v>
      </c>
      <c r="T796" s="110">
        <f t="shared" si="202"/>
        <v>0</v>
      </c>
      <c r="U796" s="110">
        <f t="shared" si="202"/>
        <v>0</v>
      </c>
      <c r="V796" s="110">
        <f t="shared" si="202"/>
        <v>0</v>
      </c>
      <c r="W796" s="110">
        <f>SUM(W794:W795)</f>
        <v>0</v>
      </c>
      <c r="X796" s="110">
        <f>SUM(C796:W796)</f>
        <v>98000</v>
      </c>
    </row>
    <row r="797" spans="1:24" ht="21" customHeight="1">
      <c r="A797" s="492" t="s">
        <v>231</v>
      </c>
      <c r="B797" s="493"/>
      <c r="C797" s="114">
        <f>+C796+C681</f>
        <v>0</v>
      </c>
      <c r="D797" s="114">
        <f aca="true" t="shared" si="203" ref="D797:X797">+D796+D681</f>
        <v>0</v>
      </c>
      <c r="E797" s="114">
        <f t="shared" si="203"/>
        <v>0</v>
      </c>
      <c r="F797" s="114">
        <f t="shared" si="203"/>
        <v>0</v>
      </c>
      <c r="G797" s="114">
        <f t="shared" si="203"/>
        <v>6850</v>
      </c>
      <c r="H797" s="114">
        <f t="shared" si="203"/>
        <v>0</v>
      </c>
      <c r="I797" s="114">
        <f t="shared" si="203"/>
        <v>0</v>
      </c>
      <c r="J797" s="114">
        <f t="shared" si="203"/>
        <v>0</v>
      </c>
      <c r="K797" s="114">
        <f t="shared" si="203"/>
        <v>0</v>
      </c>
      <c r="L797" s="114">
        <f t="shared" si="203"/>
        <v>0</v>
      </c>
      <c r="M797" s="114">
        <f t="shared" si="203"/>
        <v>300000</v>
      </c>
      <c r="N797" s="114">
        <f t="shared" si="203"/>
        <v>0</v>
      </c>
      <c r="O797" s="114">
        <f t="shared" si="203"/>
        <v>0</v>
      </c>
      <c r="P797" s="114">
        <f t="shared" si="203"/>
        <v>0</v>
      </c>
      <c r="Q797" s="114">
        <f t="shared" si="203"/>
        <v>0</v>
      </c>
      <c r="R797" s="114">
        <f t="shared" si="203"/>
        <v>0</v>
      </c>
      <c r="S797" s="114">
        <f t="shared" si="203"/>
        <v>0</v>
      </c>
      <c r="T797" s="114">
        <f t="shared" si="203"/>
        <v>0</v>
      </c>
      <c r="U797" s="114">
        <f t="shared" si="203"/>
        <v>0</v>
      </c>
      <c r="V797" s="114">
        <f t="shared" si="203"/>
        <v>48900</v>
      </c>
      <c r="W797" s="114">
        <f t="shared" si="203"/>
        <v>0</v>
      </c>
      <c r="X797" s="114">
        <f t="shared" si="203"/>
        <v>355750</v>
      </c>
    </row>
    <row r="798" spans="1:24" ht="21" customHeight="1">
      <c r="A798" s="488" t="s">
        <v>278</v>
      </c>
      <c r="B798" s="489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95"/>
      <c r="P798" s="195"/>
      <c r="Q798" s="115"/>
      <c r="R798" s="115"/>
      <c r="S798" s="115"/>
      <c r="T798" s="115"/>
      <c r="U798" s="115"/>
      <c r="V798" s="115"/>
      <c r="W798" s="115"/>
      <c r="X798" s="116">
        <f aca="true" t="shared" si="204" ref="X798:X803">SUM(C798:W798)</f>
        <v>0</v>
      </c>
    </row>
    <row r="799" spans="1:24" ht="21" customHeight="1">
      <c r="A799" s="108">
        <v>610100</v>
      </c>
      <c r="B799" s="117" t="s">
        <v>280</v>
      </c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192"/>
      <c r="P799" s="192"/>
      <c r="Q799" s="76"/>
      <c r="R799" s="76"/>
      <c r="S799" s="76"/>
      <c r="T799" s="76"/>
      <c r="U799" s="76"/>
      <c r="V799" s="76"/>
      <c r="W799" s="76"/>
      <c r="X799" s="110">
        <f t="shared" si="204"/>
        <v>0</v>
      </c>
    </row>
    <row r="800" spans="1:24" ht="21" customHeight="1">
      <c r="A800" s="108">
        <v>610200</v>
      </c>
      <c r="B800" s="109" t="s">
        <v>266</v>
      </c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192"/>
      <c r="P800" s="192"/>
      <c r="Q800" s="76"/>
      <c r="R800" s="76"/>
      <c r="S800" s="76"/>
      <c r="T800" s="76"/>
      <c r="U800" s="76"/>
      <c r="V800" s="76"/>
      <c r="W800" s="76"/>
      <c r="X800" s="110">
        <f t="shared" si="204"/>
        <v>0</v>
      </c>
    </row>
    <row r="801" spans="1:24" ht="21" customHeight="1">
      <c r="A801" s="111">
        <v>610300</v>
      </c>
      <c r="B801" s="112" t="s">
        <v>390</v>
      </c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193"/>
      <c r="P801" s="193"/>
      <c r="Q801" s="87"/>
      <c r="R801" s="87"/>
      <c r="S801" s="87"/>
      <c r="T801" s="87"/>
      <c r="U801" s="87"/>
      <c r="V801" s="87"/>
      <c r="W801" s="87"/>
      <c r="X801" s="110">
        <f t="shared" si="204"/>
        <v>0</v>
      </c>
    </row>
    <row r="802" spans="1:24" ht="21" customHeight="1">
      <c r="A802" s="111">
        <v>610400</v>
      </c>
      <c r="B802" s="112" t="s">
        <v>279</v>
      </c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193"/>
      <c r="P802" s="193"/>
      <c r="Q802" s="87"/>
      <c r="R802" s="87"/>
      <c r="S802" s="87"/>
      <c r="T802" s="87"/>
      <c r="U802" s="87"/>
      <c r="V802" s="87"/>
      <c r="W802" s="87"/>
      <c r="X802" s="113">
        <f t="shared" si="204"/>
        <v>0</v>
      </c>
    </row>
    <row r="803" spans="1:24" ht="21" customHeight="1">
      <c r="A803" s="490" t="s">
        <v>230</v>
      </c>
      <c r="B803" s="491"/>
      <c r="C803" s="110">
        <f>SUM(C799:C802)</f>
        <v>0</v>
      </c>
      <c r="D803" s="110">
        <f aca="true" t="shared" si="205" ref="D803:S803">SUM(D799:D802)</f>
        <v>0</v>
      </c>
      <c r="E803" s="110">
        <f t="shared" si="205"/>
        <v>0</v>
      </c>
      <c r="F803" s="110">
        <f t="shared" si="205"/>
        <v>0</v>
      </c>
      <c r="G803" s="110">
        <f t="shared" si="205"/>
        <v>0</v>
      </c>
      <c r="H803" s="110">
        <f t="shared" si="205"/>
        <v>0</v>
      </c>
      <c r="I803" s="110">
        <f t="shared" si="205"/>
        <v>0</v>
      </c>
      <c r="J803" s="110">
        <f t="shared" si="205"/>
        <v>0</v>
      </c>
      <c r="K803" s="110">
        <f t="shared" si="205"/>
        <v>0</v>
      </c>
      <c r="L803" s="110">
        <f t="shared" si="205"/>
        <v>0</v>
      </c>
      <c r="M803" s="110">
        <f t="shared" si="205"/>
        <v>0</v>
      </c>
      <c r="N803" s="110">
        <f t="shared" si="205"/>
        <v>0</v>
      </c>
      <c r="O803" s="110">
        <f t="shared" si="205"/>
        <v>0</v>
      </c>
      <c r="P803" s="110">
        <f t="shared" si="205"/>
        <v>0</v>
      </c>
      <c r="Q803" s="110">
        <f t="shared" si="205"/>
        <v>0</v>
      </c>
      <c r="R803" s="110">
        <f t="shared" si="205"/>
        <v>0</v>
      </c>
      <c r="S803" s="110">
        <f t="shared" si="205"/>
        <v>0</v>
      </c>
      <c r="T803" s="110">
        <f>SUM(T799:T802)</f>
        <v>0</v>
      </c>
      <c r="U803" s="110">
        <f>SUM(U799:U802)</f>
        <v>0</v>
      </c>
      <c r="V803" s="110">
        <f>SUM(V799:V802)</f>
        <v>0</v>
      </c>
      <c r="W803" s="110">
        <f>SUM(W799:W802)</f>
        <v>0</v>
      </c>
      <c r="X803" s="110">
        <f t="shared" si="204"/>
        <v>0</v>
      </c>
    </row>
    <row r="804" spans="1:24" ht="21" customHeight="1">
      <c r="A804" s="492" t="s">
        <v>231</v>
      </c>
      <c r="B804" s="493"/>
      <c r="C804" s="114">
        <f>+C803+C688</f>
        <v>20000</v>
      </c>
      <c r="D804" s="114">
        <f aca="true" t="shared" si="206" ref="D804:X804">+D803+D688</f>
        <v>0</v>
      </c>
      <c r="E804" s="114">
        <f t="shared" si="206"/>
        <v>0</v>
      </c>
      <c r="F804" s="114">
        <f t="shared" si="206"/>
        <v>0</v>
      </c>
      <c r="G804" s="114">
        <f t="shared" si="206"/>
        <v>0</v>
      </c>
      <c r="H804" s="114">
        <f t="shared" si="206"/>
        <v>1888000</v>
      </c>
      <c r="I804" s="114">
        <f t="shared" si="206"/>
        <v>0</v>
      </c>
      <c r="J804" s="114">
        <f t="shared" si="206"/>
        <v>240000</v>
      </c>
      <c r="K804" s="114">
        <f t="shared" si="206"/>
        <v>0</v>
      </c>
      <c r="L804" s="114">
        <f t="shared" si="206"/>
        <v>0</v>
      </c>
      <c r="M804" s="114">
        <f t="shared" si="206"/>
        <v>0</v>
      </c>
      <c r="N804" s="114">
        <f t="shared" si="206"/>
        <v>0</v>
      </c>
      <c r="O804" s="114">
        <f t="shared" si="206"/>
        <v>0</v>
      </c>
      <c r="P804" s="114">
        <f t="shared" si="206"/>
        <v>10000</v>
      </c>
      <c r="Q804" s="114">
        <f t="shared" si="206"/>
        <v>0</v>
      </c>
      <c r="R804" s="114">
        <f t="shared" si="206"/>
        <v>79000</v>
      </c>
      <c r="S804" s="114">
        <f t="shared" si="206"/>
        <v>0</v>
      </c>
      <c r="T804" s="114">
        <f t="shared" si="206"/>
        <v>0</v>
      </c>
      <c r="U804" s="114">
        <f t="shared" si="206"/>
        <v>0</v>
      </c>
      <c r="V804" s="114">
        <f t="shared" si="206"/>
        <v>0</v>
      </c>
      <c r="W804" s="114">
        <f t="shared" si="206"/>
        <v>0</v>
      </c>
      <c r="X804" s="114">
        <f t="shared" si="206"/>
        <v>2237000</v>
      </c>
    </row>
    <row r="805" spans="1:24" ht="21" customHeight="1">
      <c r="A805" s="488" t="s">
        <v>282</v>
      </c>
      <c r="B805" s="489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95"/>
      <c r="P805" s="195"/>
      <c r="Q805" s="115"/>
      <c r="R805" s="115"/>
      <c r="S805" s="115"/>
      <c r="T805" s="115"/>
      <c r="U805" s="115"/>
      <c r="V805" s="115"/>
      <c r="W805" s="115"/>
      <c r="X805" s="116">
        <f>SUM(C805:W805)</f>
        <v>0</v>
      </c>
    </row>
    <row r="806" spans="1:24" ht="21" customHeight="1">
      <c r="A806" s="108">
        <v>551000</v>
      </c>
      <c r="B806" s="109" t="s">
        <v>12</v>
      </c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192"/>
      <c r="P806" s="192"/>
      <c r="Q806" s="76"/>
      <c r="R806" s="76"/>
      <c r="S806" s="76"/>
      <c r="T806" s="76"/>
      <c r="U806" s="76"/>
      <c r="V806" s="76"/>
      <c r="W806" s="76"/>
      <c r="X806" s="110">
        <f>SUM(C806:W806)</f>
        <v>0</v>
      </c>
    </row>
    <row r="807" spans="1:24" ht="21" customHeight="1">
      <c r="A807" s="111">
        <v>510100</v>
      </c>
      <c r="B807" s="112" t="s">
        <v>283</v>
      </c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193"/>
      <c r="P807" s="193"/>
      <c r="Q807" s="87"/>
      <c r="R807" s="87"/>
      <c r="S807" s="87"/>
      <c r="T807" s="87"/>
      <c r="U807" s="87"/>
      <c r="V807" s="87"/>
      <c r="W807" s="87"/>
      <c r="X807" s="113">
        <f>SUM(C807:W807)</f>
        <v>0</v>
      </c>
    </row>
    <row r="808" spans="1:24" ht="21" customHeight="1">
      <c r="A808" s="490" t="s">
        <v>230</v>
      </c>
      <c r="B808" s="491"/>
      <c r="C808" s="110">
        <f>SUM(C806:C807)</f>
        <v>0</v>
      </c>
      <c r="D808" s="110">
        <f aca="true" t="shared" si="207" ref="D808:X808">SUM(D806:D807)</f>
        <v>0</v>
      </c>
      <c r="E808" s="110">
        <f t="shared" si="207"/>
        <v>0</v>
      </c>
      <c r="F808" s="110">
        <f t="shared" si="207"/>
        <v>0</v>
      </c>
      <c r="G808" s="110">
        <f t="shared" si="207"/>
        <v>0</v>
      </c>
      <c r="H808" s="110">
        <f t="shared" si="207"/>
        <v>0</v>
      </c>
      <c r="I808" s="110">
        <f t="shared" si="207"/>
        <v>0</v>
      </c>
      <c r="J808" s="110">
        <f t="shared" si="207"/>
        <v>0</v>
      </c>
      <c r="K808" s="110">
        <f t="shared" si="207"/>
        <v>0</v>
      </c>
      <c r="L808" s="110">
        <f t="shared" si="207"/>
        <v>0</v>
      </c>
      <c r="M808" s="110">
        <f t="shared" si="207"/>
        <v>0</v>
      </c>
      <c r="N808" s="110">
        <f t="shared" si="207"/>
        <v>0</v>
      </c>
      <c r="O808" s="110">
        <f t="shared" si="207"/>
        <v>0</v>
      </c>
      <c r="P808" s="110">
        <f t="shared" si="207"/>
        <v>0</v>
      </c>
      <c r="Q808" s="110">
        <f t="shared" si="207"/>
        <v>0</v>
      </c>
      <c r="R808" s="110">
        <f t="shared" si="207"/>
        <v>0</v>
      </c>
      <c r="S808" s="110">
        <f t="shared" si="207"/>
        <v>0</v>
      </c>
      <c r="T808" s="110">
        <f t="shared" si="207"/>
        <v>0</v>
      </c>
      <c r="U808" s="110">
        <f t="shared" si="207"/>
        <v>0</v>
      </c>
      <c r="V808" s="110">
        <f t="shared" si="207"/>
        <v>0</v>
      </c>
      <c r="W808" s="110">
        <f t="shared" si="207"/>
        <v>0</v>
      </c>
      <c r="X808" s="110">
        <f t="shared" si="207"/>
        <v>0</v>
      </c>
    </row>
    <row r="809" spans="1:24" ht="21" customHeight="1">
      <c r="A809" s="492" t="s">
        <v>231</v>
      </c>
      <c r="B809" s="493"/>
      <c r="C809" s="114">
        <f>+C808+C693</f>
        <v>0</v>
      </c>
      <c r="D809" s="114">
        <f aca="true" t="shared" si="208" ref="D809:X809">+D808+D693</f>
        <v>0</v>
      </c>
      <c r="E809" s="114">
        <f t="shared" si="208"/>
        <v>0</v>
      </c>
      <c r="F809" s="114">
        <f t="shared" si="208"/>
        <v>0</v>
      </c>
      <c r="G809" s="114">
        <f t="shared" si="208"/>
        <v>0</v>
      </c>
      <c r="H809" s="114">
        <f t="shared" si="208"/>
        <v>0</v>
      </c>
      <c r="I809" s="114">
        <f t="shared" si="208"/>
        <v>0</v>
      </c>
      <c r="J809" s="114">
        <f t="shared" si="208"/>
        <v>0</v>
      </c>
      <c r="K809" s="114">
        <f t="shared" si="208"/>
        <v>0</v>
      </c>
      <c r="L809" s="114">
        <f t="shared" si="208"/>
        <v>0</v>
      </c>
      <c r="M809" s="114">
        <f t="shared" si="208"/>
        <v>0</v>
      </c>
      <c r="N809" s="114">
        <f t="shared" si="208"/>
        <v>0</v>
      </c>
      <c r="O809" s="114">
        <f t="shared" si="208"/>
        <v>0</v>
      </c>
      <c r="P809" s="114">
        <f t="shared" si="208"/>
        <v>0</v>
      </c>
      <c r="Q809" s="114">
        <f t="shared" si="208"/>
        <v>0</v>
      </c>
      <c r="R809" s="114">
        <f t="shared" si="208"/>
        <v>0</v>
      </c>
      <c r="S809" s="114">
        <f t="shared" si="208"/>
        <v>0</v>
      </c>
      <c r="T809" s="114">
        <f t="shared" si="208"/>
        <v>0</v>
      </c>
      <c r="U809" s="114">
        <f t="shared" si="208"/>
        <v>0</v>
      </c>
      <c r="V809" s="114">
        <f t="shared" si="208"/>
        <v>0</v>
      </c>
      <c r="W809" s="114">
        <f t="shared" si="208"/>
        <v>0</v>
      </c>
      <c r="X809" s="114">
        <f t="shared" si="208"/>
        <v>0</v>
      </c>
    </row>
    <row r="810" spans="1:25" ht="21" customHeight="1">
      <c r="A810" s="494" t="s">
        <v>230</v>
      </c>
      <c r="B810" s="495"/>
      <c r="C810" s="49">
        <f aca="true" t="shared" si="209" ref="C810:W810">SUM(C710,C718,C730,C739,C746,C765,C772,C789,C796,C803,C808)</f>
        <v>727709.1699999999</v>
      </c>
      <c r="D810" s="49">
        <f t="shared" si="209"/>
        <v>152345</v>
      </c>
      <c r="E810" s="49">
        <f t="shared" si="209"/>
        <v>31670</v>
      </c>
      <c r="F810" s="49">
        <f t="shared" si="209"/>
        <v>2500</v>
      </c>
      <c r="G810" s="49">
        <f t="shared" si="209"/>
        <v>100640</v>
      </c>
      <c r="H810" s="49">
        <f t="shared" si="209"/>
        <v>0</v>
      </c>
      <c r="I810" s="49">
        <f t="shared" si="209"/>
        <v>26760</v>
      </c>
      <c r="J810" s="49">
        <f t="shared" si="209"/>
        <v>21000</v>
      </c>
      <c r="K810" s="49">
        <f t="shared" si="209"/>
        <v>0</v>
      </c>
      <c r="L810" s="49">
        <f t="shared" si="209"/>
        <v>98060</v>
      </c>
      <c r="M810" s="49">
        <f t="shared" si="209"/>
        <v>100900</v>
      </c>
      <c r="N810" s="49">
        <f t="shared" si="209"/>
        <v>75898.75</v>
      </c>
      <c r="O810" s="49">
        <f t="shared" si="209"/>
        <v>35220</v>
      </c>
      <c r="P810" s="49">
        <f t="shared" si="209"/>
        <v>26830</v>
      </c>
      <c r="Q810" s="49">
        <f t="shared" si="209"/>
        <v>0</v>
      </c>
      <c r="R810" s="49">
        <f t="shared" si="209"/>
        <v>74900</v>
      </c>
      <c r="S810" s="49">
        <f t="shared" si="209"/>
        <v>0</v>
      </c>
      <c r="T810" s="49">
        <f t="shared" si="209"/>
        <v>0</v>
      </c>
      <c r="U810" s="49">
        <f t="shared" si="209"/>
        <v>0</v>
      </c>
      <c r="V810" s="49">
        <f t="shared" si="209"/>
        <v>15500</v>
      </c>
      <c r="W810" s="49">
        <f t="shared" si="209"/>
        <v>106066</v>
      </c>
      <c r="X810" s="49">
        <f>SUM(C810:W810)</f>
        <v>1595998.92</v>
      </c>
      <c r="Y810" s="106">
        <f>1526258.92+69740</f>
        <v>1595998.92</v>
      </c>
    </row>
    <row r="811" spans="1:25" ht="21" customHeight="1">
      <c r="A811" s="494" t="s">
        <v>231</v>
      </c>
      <c r="B811" s="495"/>
      <c r="C811" s="49">
        <f>SUM(C711,C719,C731,C740,C747,C766,C773,C790,C797,C804,C809)</f>
        <v>4741502.05</v>
      </c>
      <c r="D811" s="49">
        <f aca="true" t="shared" si="210" ref="D811:W811">SUM(D711,D719,D731,D740,D747,D766,D773,D790,D797,D804,D809)</f>
        <v>1026145.03</v>
      </c>
      <c r="E811" s="49">
        <f t="shared" si="210"/>
        <v>176143</v>
      </c>
      <c r="F811" s="49">
        <f t="shared" si="210"/>
        <v>59867.4</v>
      </c>
      <c r="G811" s="49">
        <f t="shared" si="210"/>
        <v>402112</v>
      </c>
      <c r="H811" s="49">
        <f t="shared" si="210"/>
        <v>2378000</v>
      </c>
      <c r="I811" s="49">
        <f t="shared" si="210"/>
        <v>187320</v>
      </c>
      <c r="J811" s="49">
        <f t="shared" si="210"/>
        <v>370130</v>
      </c>
      <c r="K811" s="49">
        <f t="shared" si="210"/>
        <v>0</v>
      </c>
      <c r="L811" s="49">
        <f t="shared" si="210"/>
        <v>679071</v>
      </c>
      <c r="M811" s="49">
        <f t="shared" si="210"/>
        <v>302900</v>
      </c>
      <c r="N811" s="49">
        <f t="shared" si="210"/>
        <v>544861.25</v>
      </c>
      <c r="O811" s="49">
        <f t="shared" si="210"/>
        <v>291159</v>
      </c>
      <c r="P811" s="49">
        <f t="shared" si="210"/>
        <v>116860</v>
      </c>
      <c r="Q811" s="49">
        <f t="shared" si="210"/>
        <v>51710</v>
      </c>
      <c r="R811" s="49">
        <f t="shared" si="210"/>
        <v>304105</v>
      </c>
      <c r="S811" s="49">
        <f t="shared" si="210"/>
        <v>77215</v>
      </c>
      <c r="T811" s="49">
        <f t="shared" si="210"/>
        <v>0</v>
      </c>
      <c r="U811" s="49">
        <f t="shared" si="210"/>
        <v>24200</v>
      </c>
      <c r="V811" s="49">
        <f t="shared" si="210"/>
        <v>542158.5900000001</v>
      </c>
      <c r="W811" s="49">
        <f t="shared" si="210"/>
        <v>345224</v>
      </c>
      <c r="X811" s="49">
        <f>SUM(C811:W811)</f>
        <v>12620683.32</v>
      </c>
      <c r="Y811" s="106">
        <f>+X695+Y810</f>
        <v>12620683.319999998</v>
      </c>
    </row>
    <row r="812" spans="1:24" ht="21" customHeight="1">
      <c r="A812" s="502" t="s">
        <v>364</v>
      </c>
      <c r="B812" s="502"/>
      <c r="C812" s="502"/>
      <c r="D812" s="502"/>
      <c r="E812" s="502"/>
      <c r="F812" s="502"/>
      <c r="G812" s="502"/>
      <c r="H812" s="502"/>
      <c r="I812" s="502"/>
      <c r="J812" s="502"/>
      <c r="K812" s="502"/>
      <c r="L812" s="502"/>
      <c r="M812" s="502"/>
      <c r="N812" s="502"/>
      <c r="O812" s="503" t="str">
        <f>+A812</f>
        <v>เทศบาลตำบลเขาพระ อำเภอพิปูน จังหวัดนครศรีธรรมราช</v>
      </c>
      <c r="P812" s="503"/>
      <c r="Q812" s="503"/>
      <c r="R812" s="503"/>
      <c r="S812" s="503"/>
      <c r="T812" s="503"/>
      <c r="U812" s="503"/>
      <c r="V812" s="503"/>
      <c r="W812" s="503"/>
      <c r="X812" s="503"/>
    </row>
    <row r="813" spans="1:24" ht="21" customHeight="1">
      <c r="A813" s="502" t="s">
        <v>193</v>
      </c>
      <c r="B813" s="502"/>
      <c r="C813" s="502"/>
      <c r="D813" s="502"/>
      <c r="E813" s="502"/>
      <c r="F813" s="502"/>
      <c r="G813" s="502"/>
      <c r="H813" s="502"/>
      <c r="I813" s="502"/>
      <c r="J813" s="502"/>
      <c r="K813" s="502"/>
      <c r="L813" s="502"/>
      <c r="M813" s="502"/>
      <c r="N813" s="502"/>
      <c r="O813" s="504" t="s">
        <v>193</v>
      </c>
      <c r="P813" s="504"/>
      <c r="Q813" s="504"/>
      <c r="R813" s="504"/>
      <c r="S813" s="504"/>
      <c r="T813" s="504"/>
      <c r="U813" s="504"/>
      <c r="V813" s="504"/>
      <c r="W813" s="504"/>
      <c r="X813" s="504"/>
    </row>
    <row r="814" spans="1:24" ht="21" customHeight="1">
      <c r="A814" s="505" t="s">
        <v>611</v>
      </c>
      <c r="B814" s="505"/>
      <c r="C814" s="505"/>
      <c r="D814" s="505"/>
      <c r="E814" s="505"/>
      <c r="F814" s="505"/>
      <c r="G814" s="505"/>
      <c r="H814" s="505"/>
      <c r="I814" s="505"/>
      <c r="J814" s="505"/>
      <c r="K814" s="505"/>
      <c r="L814" s="505"/>
      <c r="M814" s="505"/>
      <c r="N814" s="505"/>
      <c r="O814" s="506" t="s">
        <v>611</v>
      </c>
      <c r="P814" s="506"/>
      <c r="Q814" s="506"/>
      <c r="R814" s="506"/>
      <c r="S814" s="506"/>
      <c r="T814" s="506"/>
      <c r="U814" s="506"/>
      <c r="V814" s="506"/>
      <c r="W814" s="506"/>
      <c r="X814" s="506"/>
    </row>
    <row r="815" spans="1:24" ht="21" customHeight="1">
      <c r="A815" s="497" t="s">
        <v>194</v>
      </c>
      <c r="B815" s="497"/>
      <c r="C815" s="496" t="s">
        <v>196</v>
      </c>
      <c r="D815" s="496"/>
      <c r="E815" s="499" t="s">
        <v>199</v>
      </c>
      <c r="F815" s="500"/>
      <c r="G815" s="496" t="s">
        <v>201</v>
      </c>
      <c r="H815" s="497"/>
      <c r="I815" s="499" t="s">
        <v>215</v>
      </c>
      <c r="J815" s="500"/>
      <c r="K815" s="429" t="s">
        <v>216</v>
      </c>
      <c r="L815" s="499" t="s">
        <v>217</v>
      </c>
      <c r="M815" s="501"/>
      <c r="N815" s="500"/>
      <c r="O815" s="499" t="s">
        <v>218</v>
      </c>
      <c r="P815" s="500"/>
      <c r="Q815" s="499" t="s">
        <v>219</v>
      </c>
      <c r="R815" s="501"/>
      <c r="S815" s="500"/>
      <c r="T815" s="496" t="s">
        <v>220</v>
      </c>
      <c r="U815" s="497"/>
      <c r="V815" s="429" t="s">
        <v>284</v>
      </c>
      <c r="W815" s="429" t="s">
        <v>221</v>
      </c>
      <c r="X815" s="498" t="s">
        <v>17</v>
      </c>
    </row>
    <row r="816" spans="1:24" ht="21" customHeight="1">
      <c r="A816" s="497" t="s">
        <v>195</v>
      </c>
      <c r="B816" s="497"/>
      <c r="C816" s="429" t="s">
        <v>197</v>
      </c>
      <c r="D816" s="429" t="s">
        <v>198</v>
      </c>
      <c r="E816" s="429" t="s">
        <v>200</v>
      </c>
      <c r="F816" s="429" t="s">
        <v>288</v>
      </c>
      <c r="G816" s="429" t="s">
        <v>202</v>
      </c>
      <c r="H816" s="429" t="s">
        <v>203</v>
      </c>
      <c r="I816" s="429" t="s">
        <v>204</v>
      </c>
      <c r="J816" s="429" t="s">
        <v>205</v>
      </c>
      <c r="K816" s="429" t="s">
        <v>206</v>
      </c>
      <c r="L816" s="429" t="s">
        <v>207</v>
      </c>
      <c r="M816" s="429" t="s">
        <v>208</v>
      </c>
      <c r="N816" s="429" t="s">
        <v>334</v>
      </c>
      <c r="O816" s="430" t="s">
        <v>471</v>
      </c>
      <c r="P816" s="430" t="s">
        <v>209</v>
      </c>
      <c r="Q816" s="429" t="s">
        <v>210</v>
      </c>
      <c r="R816" s="429" t="s">
        <v>211</v>
      </c>
      <c r="S816" s="429" t="s">
        <v>290</v>
      </c>
      <c r="T816" s="429" t="s">
        <v>212</v>
      </c>
      <c r="U816" s="429" t="s">
        <v>213</v>
      </c>
      <c r="V816" s="429" t="s">
        <v>285</v>
      </c>
      <c r="W816" s="429" t="s">
        <v>214</v>
      </c>
      <c r="X816" s="498"/>
    </row>
    <row r="817" spans="1:24" ht="21" customHeight="1">
      <c r="A817" s="488" t="s">
        <v>268</v>
      </c>
      <c r="B817" s="489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91"/>
      <c r="P817" s="191"/>
      <c r="Q817" s="107"/>
      <c r="R817" s="107"/>
      <c r="S817" s="107"/>
      <c r="T817" s="107"/>
      <c r="U817" s="107"/>
      <c r="V817" s="107"/>
      <c r="W817" s="107"/>
      <c r="X817" s="107"/>
    </row>
    <row r="818" spans="1:24" ht="21" customHeight="1">
      <c r="A818" s="108">
        <v>110300</v>
      </c>
      <c r="B818" s="109" t="s">
        <v>222</v>
      </c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192"/>
      <c r="P818" s="192"/>
      <c r="Q818" s="76"/>
      <c r="R818" s="76"/>
      <c r="S818" s="76"/>
      <c r="T818" s="76"/>
      <c r="U818" s="76"/>
      <c r="V818" s="76"/>
      <c r="W818" s="76">
        <f>11690+513</f>
        <v>12203</v>
      </c>
      <c r="X818" s="110">
        <f>SUM(C818:W818)</f>
        <v>12203</v>
      </c>
    </row>
    <row r="819" spans="1:24" ht="21" customHeight="1">
      <c r="A819" s="108">
        <v>110700</v>
      </c>
      <c r="B819" s="109" t="s">
        <v>123</v>
      </c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192"/>
      <c r="P819" s="192"/>
      <c r="Q819" s="76"/>
      <c r="R819" s="76"/>
      <c r="S819" s="76"/>
      <c r="T819" s="76"/>
      <c r="U819" s="76"/>
      <c r="V819" s="76"/>
      <c r="W819" s="76"/>
      <c r="X819" s="110">
        <f aca="true" t="shared" si="211" ref="X819:X824">SUM(C819:W819)</f>
        <v>0</v>
      </c>
    </row>
    <row r="820" spans="1:24" ht="21" customHeight="1">
      <c r="A820" s="108">
        <v>110800</v>
      </c>
      <c r="B820" s="109" t="s">
        <v>129</v>
      </c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192"/>
      <c r="P820" s="192"/>
      <c r="Q820" s="76"/>
      <c r="R820" s="76"/>
      <c r="S820" s="76"/>
      <c r="T820" s="76"/>
      <c r="U820" s="76"/>
      <c r="V820" s="76"/>
      <c r="W820" s="76"/>
      <c r="X820" s="110">
        <f t="shared" si="211"/>
        <v>0</v>
      </c>
    </row>
    <row r="821" spans="1:24" ht="21" customHeight="1">
      <c r="A821" s="108">
        <v>110900</v>
      </c>
      <c r="B821" s="109" t="s">
        <v>130</v>
      </c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192"/>
      <c r="P821" s="192"/>
      <c r="Q821" s="76"/>
      <c r="R821" s="76"/>
      <c r="S821" s="76"/>
      <c r="T821" s="76"/>
      <c r="U821" s="76"/>
      <c r="V821" s="76"/>
      <c r="W821" s="76">
        <v>8000</v>
      </c>
      <c r="X821" s="110">
        <f t="shared" si="211"/>
        <v>8000</v>
      </c>
    </row>
    <row r="822" spans="1:24" ht="21" customHeight="1">
      <c r="A822" s="108">
        <v>111000</v>
      </c>
      <c r="B822" s="109" t="s">
        <v>131</v>
      </c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192"/>
      <c r="P822" s="192"/>
      <c r="Q822" s="76"/>
      <c r="R822" s="76"/>
      <c r="S822" s="76"/>
      <c r="T822" s="76"/>
      <c r="U822" s="76"/>
      <c r="V822" s="76"/>
      <c r="W822" s="76">
        <v>2800</v>
      </c>
      <c r="X822" s="110">
        <f t="shared" si="211"/>
        <v>2800</v>
      </c>
    </row>
    <row r="823" spans="1:24" ht="21" customHeight="1">
      <c r="A823" s="108">
        <v>111100</v>
      </c>
      <c r="B823" s="109" t="s">
        <v>224</v>
      </c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192"/>
      <c r="P823" s="192"/>
      <c r="Q823" s="76"/>
      <c r="R823" s="76"/>
      <c r="S823" s="76"/>
      <c r="T823" s="76"/>
      <c r="U823" s="76"/>
      <c r="V823" s="76"/>
      <c r="W823" s="76">
        <v>170662.5</v>
      </c>
      <c r="X823" s="110">
        <f t="shared" si="211"/>
        <v>170662.5</v>
      </c>
    </row>
    <row r="824" spans="1:24" ht="21" customHeight="1">
      <c r="A824" s="108">
        <v>111100</v>
      </c>
      <c r="B824" s="109" t="s">
        <v>451</v>
      </c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192"/>
      <c r="P824" s="192"/>
      <c r="Q824" s="76"/>
      <c r="R824" s="76"/>
      <c r="S824" s="76"/>
      <c r="T824" s="76"/>
      <c r="U824" s="76"/>
      <c r="V824" s="76"/>
      <c r="W824" s="76"/>
      <c r="X824" s="110">
        <f t="shared" si="211"/>
        <v>0</v>
      </c>
    </row>
    <row r="825" spans="1:24" ht="21" customHeight="1">
      <c r="A825" s="111">
        <v>120100</v>
      </c>
      <c r="B825" s="112" t="s">
        <v>223</v>
      </c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193"/>
      <c r="P825" s="193"/>
      <c r="Q825" s="87"/>
      <c r="R825" s="87"/>
      <c r="S825" s="87"/>
      <c r="T825" s="87"/>
      <c r="U825" s="87"/>
      <c r="V825" s="87"/>
      <c r="W825" s="87">
        <v>303204</v>
      </c>
      <c r="X825" s="113">
        <f>SUM(C825:W825)</f>
        <v>303204</v>
      </c>
    </row>
    <row r="826" spans="1:24" ht="21" customHeight="1">
      <c r="A826" s="490" t="s">
        <v>230</v>
      </c>
      <c r="B826" s="491"/>
      <c r="C826" s="110">
        <f>SUM(C818:C825)</f>
        <v>0</v>
      </c>
      <c r="D826" s="110">
        <f aca="true" t="shared" si="212" ref="D826:L826">SUM(D818:D825)</f>
        <v>0</v>
      </c>
      <c r="E826" s="110">
        <f t="shared" si="212"/>
        <v>0</v>
      </c>
      <c r="F826" s="110">
        <f t="shared" si="212"/>
        <v>0</v>
      </c>
      <c r="G826" s="110">
        <f t="shared" si="212"/>
        <v>0</v>
      </c>
      <c r="H826" s="110">
        <f t="shared" si="212"/>
        <v>0</v>
      </c>
      <c r="I826" s="110">
        <f t="shared" si="212"/>
        <v>0</v>
      </c>
      <c r="J826" s="110">
        <f t="shared" si="212"/>
        <v>0</v>
      </c>
      <c r="K826" s="110">
        <f t="shared" si="212"/>
        <v>0</v>
      </c>
      <c r="L826" s="110">
        <f t="shared" si="212"/>
        <v>0</v>
      </c>
      <c r="M826" s="110">
        <f>SUM(M818:M825)</f>
        <v>0</v>
      </c>
      <c r="N826" s="110">
        <f>SUM(N818:N825)</f>
        <v>0</v>
      </c>
      <c r="O826" s="110">
        <f>SUM(O818:O825)</f>
        <v>0</v>
      </c>
      <c r="P826" s="110">
        <f>SUM(P818:P825)</f>
        <v>0</v>
      </c>
      <c r="Q826" s="110">
        <f>SUM(Q818:Q825)</f>
        <v>0</v>
      </c>
      <c r="R826" s="110">
        <f>SUM(R818:R825)</f>
        <v>0</v>
      </c>
      <c r="S826" s="110"/>
      <c r="T826" s="110">
        <f>SUM(T818:T825)</f>
        <v>0</v>
      </c>
      <c r="U826" s="110">
        <f>SUM(U818:U825)</f>
        <v>0</v>
      </c>
      <c r="V826" s="110">
        <f>SUM(V818:V825)</f>
        <v>0</v>
      </c>
      <c r="W826" s="110">
        <f>SUM(W818:W825)</f>
        <v>496869.5</v>
      </c>
      <c r="X826" s="110">
        <f>SUM(C826:W826)</f>
        <v>496869.5</v>
      </c>
    </row>
    <row r="827" spans="1:24" ht="21" customHeight="1">
      <c r="A827" s="492" t="s">
        <v>231</v>
      </c>
      <c r="B827" s="493"/>
      <c r="C827" s="114">
        <f>+C826+C711</f>
        <v>0</v>
      </c>
      <c r="D827" s="114">
        <f aca="true" t="shared" si="213" ref="D827:X827">+D826+D711</f>
        <v>0</v>
      </c>
      <c r="E827" s="114">
        <f t="shared" si="213"/>
        <v>0</v>
      </c>
      <c r="F827" s="114">
        <f t="shared" si="213"/>
        <v>0</v>
      </c>
      <c r="G827" s="114">
        <f t="shared" si="213"/>
        <v>0</v>
      </c>
      <c r="H827" s="114">
        <f t="shared" si="213"/>
        <v>0</v>
      </c>
      <c r="I827" s="114">
        <f t="shared" si="213"/>
        <v>0</v>
      </c>
      <c r="J827" s="114">
        <f t="shared" si="213"/>
        <v>0</v>
      </c>
      <c r="K827" s="114">
        <f t="shared" si="213"/>
        <v>0</v>
      </c>
      <c r="L827" s="114">
        <f t="shared" si="213"/>
        <v>0</v>
      </c>
      <c r="M827" s="114">
        <f t="shared" si="213"/>
        <v>0</v>
      </c>
      <c r="N827" s="114">
        <f t="shared" si="213"/>
        <v>0</v>
      </c>
      <c r="O827" s="114">
        <f t="shared" si="213"/>
        <v>0</v>
      </c>
      <c r="P827" s="114">
        <f t="shared" si="213"/>
        <v>0</v>
      </c>
      <c r="Q827" s="114">
        <f t="shared" si="213"/>
        <v>0</v>
      </c>
      <c r="R827" s="114">
        <f t="shared" si="213"/>
        <v>0</v>
      </c>
      <c r="S827" s="114">
        <f t="shared" si="213"/>
        <v>0</v>
      </c>
      <c r="T827" s="114">
        <f t="shared" si="213"/>
        <v>0</v>
      </c>
      <c r="U827" s="114">
        <f t="shared" si="213"/>
        <v>0</v>
      </c>
      <c r="V827" s="114">
        <f t="shared" si="213"/>
        <v>0</v>
      </c>
      <c r="W827" s="114">
        <f t="shared" si="213"/>
        <v>842093.5</v>
      </c>
      <c r="X827" s="114">
        <f t="shared" si="213"/>
        <v>842093.5</v>
      </c>
    </row>
    <row r="828" spans="1:24" ht="21" customHeight="1">
      <c r="A828" s="488" t="s">
        <v>269</v>
      </c>
      <c r="B828" s="489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95"/>
      <c r="P828" s="195"/>
      <c r="Q828" s="115"/>
      <c r="R828" s="115"/>
      <c r="S828" s="115"/>
      <c r="T828" s="115"/>
      <c r="U828" s="115"/>
      <c r="V828" s="115"/>
      <c r="W828" s="115"/>
      <c r="X828" s="116">
        <f aca="true" t="shared" si="214" ref="X828:X833">SUM(C828:W828)</f>
        <v>0</v>
      </c>
    </row>
    <row r="829" spans="1:24" ht="21" customHeight="1">
      <c r="A829" s="108">
        <v>210100</v>
      </c>
      <c r="B829" s="73" t="s">
        <v>225</v>
      </c>
      <c r="C829" s="76">
        <v>57960</v>
      </c>
      <c r="D829" s="76">
        <v>0</v>
      </c>
      <c r="E829" s="76"/>
      <c r="F829" s="76"/>
      <c r="G829" s="76"/>
      <c r="H829" s="76"/>
      <c r="I829" s="76"/>
      <c r="J829" s="76"/>
      <c r="K829" s="76"/>
      <c r="L829" s="76">
        <v>0</v>
      </c>
      <c r="M829" s="76"/>
      <c r="N829" s="76"/>
      <c r="O829" s="192"/>
      <c r="P829" s="192"/>
      <c r="Q829" s="76"/>
      <c r="R829" s="76"/>
      <c r="S829" s="76"/>
      <c r="T829" s="76"/>
      <c r="U829" s="76"/>
      <c r="V829" s="76"/>
      <c r="W829" s="76"/>
      <c r="X829" s="110">
        <f t="shared" si="214"/>
        <v>57960</v>
      </c>
    </row>
    <row r="830" spans="1:24" ht="21" customHeight="1">
      <c r="A830" s="108">
        <v>210200</v>
      </c>
      <c r="B830" s="73" t="s">
        <v>229</v>
      </c>
      <c r="C830" s="76">
        <v>10000</v>
      </c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192"/>
      <c r="P830" s="192"/>
      <c r="Q830" s="76"/>
      <c r="R830" s="76"/>
      <c r="S830" s="76"/>
      <c r="T830" s="76"/>
      <c r="U830" s="76"/>
      <c r="V830" s="76"/>
      <c r="W830" s="76"/>
      <c r="X830" s="110">
        <f t="shared" si="214"/>
        <v>10000</v>
      </c>
    </row>
    <row r="831" spans="1:24" ht="21" customHeight="1">
      <c r="A831" s="108">
        <v>210300</v>
      </c>
      <c r="B831" s="73" t="s">
        <v>226</v>
      </c>
      <c r="C831" s="76">
        <v>10000</v>
      </c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192"/>
      <c r="P831" s="192"/>
      <c r="Q831" s="76"/>
      <c r="R831" s="76"/>
      <c r="S831" s="76"/>
      <c r="T831" s="76"/>
      <c r="U831" s="76"/>
      <c r="V831" s="76"/>
      <c r="W831" s="76"/>
      <c r="X831" s="110">
        <f t="shared" si="214"/>
        <v>10000</v>
      </c>
    </row>
    <row r="832" spans="1:24" ht="21" customHeight="1">
      <c r="A832" s="108">
        <v>210400</v>
      </c>
      <c r="B832" s="73" t="s">
        <v>227</v>
      </c>
      <c r="C832" s="76">
        <v>16560</v>
      </c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192"/>
      <c r="P832" s="192"/>
      <c r="Q832" s="76"/>
      <c r="R832" s="76"/>
      <c r="S832" s="76"/>
      <c r="T832" s="76"/>
      <c r="U832" s="76"/>
      <c r="V832" s="76"/>
      <c r="W832" s="76"/>
      <c r="X832" s="110">
        <f t="shared" si="214"/>
        <v>16560</v>
      </c>
    </row>
    <row r="833" spans="1:24" ht="21" customHeight="1">
      <c r="A833" s="111">
        <v>210600</v>
      </c>
      <c r="B833" s="74" t="s">
        <v>228</v>
      </c>
      <c r="C833" s="76">
        <v>124200</v>
      </c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193"/>
      <c r="P833" s="193"/>
      <c r="Q833" s="87"/>
      <c r="R833" s="87"/>
      <c r="S833" s="87"/>
      <c r="T833" s="87"/>
      <c r="U833" s="87"/>
      <c r="V833" s="87"/>
      <c r="W833" s="87"/>
      <c r="X833" s="113">
        <f t="shared" si="214"/>
        <v>124200</v>
      </c>
    </row>
    <row r="834" spans="1:24" ht="21" customHeight="1">
      <c r="A834" s="490" t="s">
        <v>230</v>
      </c>
      <c r="B834" s="491"/>
      <c r="C834" s="110">
        <f>SUM(C829:C833)</f>
        <v>218720</v>
      </c>
      <c r="D834" s="110">
        <f>SUM(D828:D833)</f>
        <v>0</v>
      </c>
      <c r="E834" s="110">
        <f>SUM(E828:E833)</f>
        <v>0</v>
      </c>
      <c r="F834" s="110">
        <f aca="true" t="shared" si="215" ref="F834:L834">SUM(F828:F833)</f>
        <v>0</v>
      </c>
      <c r="G834" s="110">
        <f t="shared" si="215"/>
        <v>0</v>
      </c>
      <c r="H834" s="110">
        <f t="shared" si="215"/>
        <v>0</v>
      </c>
      <c r="I834" s="110">
        <f t="shared" si="215"/>
        <v>0</v>
      </c>
      <c r="J834" s="110">
        <f t="shared" si="215"/>
        <v>0</v>
      </c>
      <c r="K834" s="110">
        <f t="shared" si="215"/>
        <v>0</v>
      </c>
      <c r="L834" s="110">
        <f t="shared" si="215"/>
        <v>0</v>
      </c>
      <c r="M834" s="110">
        <f>SUM(M828:M833)</f>
        <v>0</v>
      </c>
      <c r="N834" s="110">
        <f>SUM(N828:N833)</f>
        <v>0</v>
      </c>
      <c r="O834" s="110">
        <f>SUM(O828:O833)</f>
        <v>0</v>
      </c>
      <c r="P834" s="110">
        <f>SUM(P828:P833)</f>
        <v>0</v>
      </c>
      <c r="Q834" s="110">
        <f>SUM(Q828:Q833)</f>
        <v>0</v>
      </c>
      <c r="R834" s="110">
        <f>SUM(R828:R833)</f>
        <v>0</v>
      </c>
      <c r="S834" s="110"/>
      <c r="T834" s="110">
        <f>SUM(T828:T833)</f>
        <v>0</v>
      </c>
      <c r="U834" s="110">
        <f>SUM(U828:U833)</f>
        <v>0</v>
      </c>
      <c r="V834" s="110">
        <f>SUM(V828:V833)</f>
        <v>0</v>
      </c>
      <c r="W834" s="110">
        <f>SUM(W828:W833)</f>
        <v>0</v>
      </c>
      <c r="X834" s="110">
        <f>SUM(C834:W834)</f>
        <v>218720</v>
      </c>
    </row>
    <row r="835" spans="1:24" ht="21" customHeight="1">
      <c r="A835" s="492" t="s">
        <v>231</v>
      </c>
      <c r="B835" s="493"/>
      <c r="C835" s="110">
        <f>+C834+C719</f>
        <v>1744774</v>
      </c>
      <c r="D835" s="110">
        <f aca="true" t="shared" si="216" ref="D835:X835">+D834+D719</f>
        <v>0</v>
      </c>
      <c r="E835" s="110">
        <f t="shared" si="216"/>
        <v>0</v>
      </c>
      <c r="F835" s="110">
        <f t="shared" si="216"/>
        <v>0</v>
      </c>
      <c r="G835" s="110">
        <f t="shared" si="216"/>
        <v>0</v>
      </c>
      <c r="H835" s="110">
        <f t="shared" si="216"/>
        <v>0</v>
      </c>
      <c r="I835" s="110">
        <f t="shared" si="216"/>
        <v>0</v>
      </c>
      <c r="J835" s="110">
        <f t="shared" si="216"/>
        <v>0</v>
      </c>
      <c r="K835" s="110">
        <f t="shared" si="216"/>
        <v>0</v>
      </c>
      <c r="L835" s="110">
        <f t="shared" si="216"/>
        <v>0</v>
      </c>
      <c r="M835" s="110">
        <f t="shared" si="216"/>
        <v>0</v>
      </c>
      <c r="N835" s="110">
        <f t="shared" si="216"/>
        <v>0</v>
      </c>
      <c r="O835" s="110">
        <f t="shared" si="216"/>
        <v>0</v>
      </c>
      <c r="P835" s="110">
        <f t="shared" si="216"/>
        <v>0</v>
      </c>
      <c r="Q835" s="110">
        <f t="shared" si="216"/>
        <v>0</v>
      </c>
      <c r="R835" s="110">
        <f t="shared" si="216"/>
        <v>0</v>
      </c>
      <c r="S835" s="110">
        <f t="shared" si="216"/>
        <v>0</v>
      </c>
      <c r="T835" s="110">
        <f t="shared" si="216"/>
        <v>0</v>
      </c>
      <c r="U835" s="110">
        <f t="shared" si="216"/>
        <v>0</v>
      </c>
      <c r="V835" s="110">
        <f t="shared" si="216"/>
        <v>0</v>
      </c>
      <c r="W835" s="110">
        <f t="shared" si="216"/>
        <v>0</v>
      </c>
      <c r="X835" s="110">
        <f t="shared" si="216"/>
        <v>1744774</v>
      </c>
    </row>
    <row r="836" spans="1:24" ht="21" customHeight="1">
      <c r="A836" s="488" t="s">
        <v>270</v>
      </c>
      <c r="B836" s="489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95"/>
      <c r="P836" s="195"/>
      <c r="Q836" s="115"/>
      <c r="R836" s="115"/>
      <c r="S836" s="115"/>
      <c r="T836" s="115"/>
      <c r="U836" s="115"/>
      <c r="V836" s="115"/>
      <c r="W836" s="115"/>
      <c r="X836" s="116">
        <f>SUM(C836:W836)</f>
        <v>0</v>
      </c>
    </row>
    <row r="837" spans="1:24" ht="21" customHeight="1">
      <c r="A837" s="108">
        <v>220100</v>
      </c>
      <c r="B837" s="73" t="s">
        <v>232</v>
      </c>
      <c r="C837" s="76">
        <v>206080</v>
      </c>
      <c r="D837" s="76">
        <v>82710</v>
      </c>
      <c r="E837" s="76">
        <v>21510</v>
      </c>
      <c r="F837" s="76">
        <v>0</v>
      </c>
      <c r="G837" s="76">
        <v>21190</v>
      </c>
      <c r="H837" s="76"/>
      <c r="I837" s="76"/>
      <c r="J837" s="76"/>
      <c r="K837" s="76"/>
      <c r="L837" s="76">
        <v>33930</v>
      </c>
      <c r="M837" s="76"/>
      <c r="N837" s="371"/>
      <c r="O837" s="192">
        <v>17580</v>
      </c>
      <c r="P837" s="192"/>
      <c r="Q837" s="76"/>
      <c r="R837" s="76"/>
      <c r="S837" s="76"/>
      <c r="T837" s="76"/>
      <c r="U837" s="76"/>
      <c r="V837" s="76"/>
      <c r="W837" s="76"/>
      <c r="X837" s="110">
        <f>SUM(C837:W837)</f>
        <v>383000</v>
      </c>
    </row>
    <row r="838" spans="1:24" ht="21" customHeight="1">
      <c r="A838" s="108">
        <v>220200</v>
      </c>
      <c r="B838" s="73" t="s">
        <v>233</v>
      </c>
      <c r="C838" s="76">
        <v>5600</v>
      </c>
      <c r="D838" s="76">
        <f>550-105</f>
        <v>445</v>
      </c>
      <c r="E838" s="76"/>
      <c r="F838" s="76"/>
      <c r="G838" s="76"/>
      <c r="H838" s="76"/>
      <c r="I838" s="76"/>
      <c r="J838" s="76"/>
      <c r="K838" s="76"/>
      <c r="L838" s="76">
        <v>0</v>
      </c>
      <c r="M838" s="76"/>
      <c r="N838" s="372"/>
      <c r="O838" s="192"/>
      <c r="P838" s="192"/>
      <c r="Q838" s="76"/>
      <c r="R838" s="76"/>
      <c r="S838" s="76"/>
      <c r="T838" s="76"/>
      <c r="U838" s="76"/>
      <c r="V838" s="76"/>
      <c r="W838" s="76"/>
      <c r="X838" s="110">
        <f>SUM(C838:W838)</f>
        <v>6045</v>
      </c>
    </row>
    <row r="839" spans="1:24" ht="21" customHeight="1">
      <c r="A839" s="108">
        <v>220300</v>
      </c>
      <c r="B839" s="73" t="s">
        <v>234</v>
      </c>
      <c r="C839" s="76">
        <v>9100</v>
      </c>
      <c r="D839" s="76"/>
      <c r="E839" s="76"/>
      <c r="F839" s="76"/>
      <c r="G839" s="76"/>
      <c r="H839" s="76"/>
      <c r="I839" s="76"/>
      <c r="J839" s="76"/>
      <c r="K839" s="76"/>
      <c r="L839" s="76">
        <v>0</v>
      </c>
      <c r="M839" s="76"/>
      <c r="N839" s="372"/>
      <c r="O839" s="192"/>
      <c r="P839" s="192"/>
      <c r="Q839" s="76"/>
      <c r="R839" s="76"/>
      <c r="S839" s="76"/>
      <c r="T839" s="76"/>
      <c r="U839" s="76"/>
      <c r="V839" s="76"/>
      <c r="W839" s="76"/>
      <c r="X839" s="110">
        <f>SUM(C839:W839)</f>
        <v>9100</v>
      </c>
    </row>
    <row r="840" spans="1:24" ht="21" customHeight="1">
      <c r="A840" s="108">
        <v>220400</v>
      </c>
      <c r="B840" s="73" t="s">
        <v>3</v>
      </c>
      <c r="C840" s="76"/>
      <c r="D840" s="76">
        <v>32100</v>
      </c>
      <c r="E840" s="76"/>
      <c r="F840" s="76"/>
      <c r="G840" s="76"/>
      <c r="H840" s="76"/>
      <c r="I840" s="76"/>
      <c r="J840" s="76"/>
      <c r="K840" s="76"/>
      <c r="L840" s="76">
        <v>0</v>
      </c>
      <c r="M840" s="76"/>
      <c r="N840" s="372"/>
      <c r="O840" s="192"/>
      <c r="P840" s="192"/>
      <c r="Q840" s="76"/>
      <c r="R840" s="76"/>
      <c r="S840" s="76"/>
      <c r="T840" s="76"/>
      <c r="U840" s="76"/>
      <c r="V840" s="76"/>
      <c r="W840" s="76"/>
      <c r="X840" s="110">
        <f>SUM(C840:W840)</f>
        <v>32100</v>
      </c>
    </row>
    <row r="841" spans="1:24" ht="21" customHeight="1">
      <c r="A841" s="108">
        <v>220500</v>
      </c>
      <c r="B841" s="73" t="s">
        <v>235</v>
      </c>
      <c r="C841" s="76"/>
      <c r="D841" s="76">
        <v>0</v>
      </c>
      <c r="E841" s="76"/>
      <c r="F841" s="76"/>
      <c r="G841" s="76"/>
      <c r="H841" s="76"/>
      <c r="I841" s="76"/>
      <c r="J841" s="76"/>
      <c r="K841" s="76"/>
      <c r="L841" s="76">
        <v>0</v>
      </c>
      <c r="M841" s="76"/>
      <c r="N841" s="373"/>
      <c r="O841" s="192"/>
      <c r="P841" s="192"/>
      <c r="Q841" s="76"/>
      <c r="R841" s="76"/>
      <c r="S841" s="76"/>
      <c r="T841" s="76"/>
      <c r="U841" s="76"/>
      <c r="V841" s="76"/>
      <c r="W841" s="76"/>
      <c r="X841" s="110">
        <f>SUM(C841:W841)</f>
        <v>0</v>
      </c>
    </row>
    <row r="842" spans="1:24" ht="21" customHeight="1">
      <c r="A842" s="497" t="s">
        <v>194</v>
      </c>
      <c r="B842" s="497"/>
      <c r="C842" s="496" t="s">
        <v>196</v>
      </c>
      <c r="D842" s="496"/>
      <c r="E842" s="499" t="s">
        <v>199</v>
      </c>
      <c r="F842" s="500"/>
      <c r="G842" s="496" t="s">
        <v>201</v>
      </c>
      <c r="H842" s="497"/>
      <c r="I842" s="499" t="s">
        <v>215</v>
      </c>
      <c r="J842" s="500"/>
      <c r="K842" s="429" t="s">
        <v>216</v>
      </c>
      <c r="L842" s="499" t="s">
        <v>217</v>
      </c>
      <c r="M842" s="501"/>
      <c r="N842" s="500"/>
      <c r="O842" s="499" t="s">
        <v>218</v>
      </c>
      <c r="P842" s="500"/>
      <c r="Q842" s="499" t="s">
        <v>219</v>
      </c>
      <c r="R842" s="501"/>
      <c r="S842" s="500"/>
      <c r="T842" s="496" t="s">
        <v>220</v>
      </c>
      <c r="U842" s="497"/>
      <c r="V842" s="429" t="s">
        <v>284</v>
      </c>
      <c r="W842" s="429" t="s">
        <v>221</v>
      </c>
      <c r="X842" s="498" t="s">
        <v>17</v>
      </c>
    </row>
    <row r="843" spans="1:24" ht="21" customHeight="1">
      <c r="A843" s="497" t="s">
        <v>195</v>
      </c>
      <c r="B843" s="497"/>
      <c r="C843" s="429" t="s">
        <v>197</v>
      </c>
      <c r="D843" s="429" t="s">
        <v>198</v>
      </c>
      <c r="E843" s="429" t="s">
        <v>200</v>
      </c>
      <c r="F843" s="429" t="s">
        <v>288</v>
      </c>
      <c r="G843" s="429" t="s">
        <v>202</v>
      </c>
      <c r="H843" s="429" t="s">
        <v>203</v>
      </c>
      <c r="I843" s="429" t="s">
        <v>204</v>
      </c>
      <c r="J843" s="429" t="s">
        <v>205</v>
      </c>
      <c r="K843" s="429" t="s">
        <v>206</v>
      </c>
      <c r="L843" s="429" t="s">
        <v>207</v>
      </c>
      <c r="M843" s="429" t="s">
        <v>208</v>
      </c>
      <c r="N843" s="429" t="s">
        <v>334</v>
      </c>
      <c r="O843" s="430" t="s">
        <v>471</v>
      </c>
      <c r="P843" s="430" t="s">
        <v>209</v>
      </c>
      <c r="Q843" s="429" t="s">
        <v>210</v>
      </c>
      <c r="R843" s="429" t="s">
        <v>211</v>
      </c>
      <c r="S843" s="429" t="s">
        <v>290</v>
      </c>
      <c r="T843" s="429" t="s">
        <v>212</v>
      </c>
      <c r="U843" s="429" t="s">
        <v>213</v>
      </c>
      <c r="V843" s="429" t="s">
        <v>285</v>
      </c>
      <c r="W843" s="429" t="s">
        <v>214</v>
      </c>
      <c r="X843" s="498"/>
    </row>
    <row r="844" spans="1:24" ht="21" customHeight="1">
      <c r="A844" s="108">
        <v>220600</v>
      </c>
      <c r="B844" s="73" t="s">
        <v>236</v>
      </c>
      <c r="C844" s="76">
        <v>90860</v>
      </c>
      <c r="D844" s="76">
        <v>24400</v>
      </c>
      <c r="E844" s="76">
        <v>9400</v>
      </c>
      <c r="F844" s="76"/>
      <c r="G844" s="76">
        <v>26490</v>
      </c>
      <c r="H844" s="84"/>
      <c r="I844" s="76">
        <v>25260</v>
      </c>
      <c r="J844" s="76"/>
      <c r="K844" s="76"/>
      <c r="L844" s="76">
        <v>37880</v>
      </c>
      <c r="M844" s="76"/>
      <c r="N844" s="76"/>
      <c r="O844" s="192">
        <v>15960</v>
      </c>
      <c r="P844" s="192"/>
      <c r="Q844" s="76"/>
      <c r="R844" s="76"/>
      <c r="S844" s="76"/>
      <c r="T844" s="76"/>
      <c r="U844" s="76"/>
      <c r="V844" s="76"/>
      <c r="W844" s="76"/>
      <c r="X844" s="110">
        <f>SUM(C844:W844)</f>
        <v>230250</v>
      </c>
    </row>
    <row r="845" spans="1:24" ht="21" customHeight="1">
      <c r="A845" s="111">
        <v>220700</v>
      </c>
      <c r="B845" s="74" t="s">
        <v>237</v>
      </c>
      <c r="C845" s="76">
        <v>7500</v>
      </c>
      <c r="D845" s="87">
        <v>1500</v>
      </c>
      <c r="E845" s="87">
        <v>1500</v>
      </c>
      <c r="F845" s="87"/>
      <c r="G845" s="145"/>
      <c r="H845" s="145"/>
      <c r="I845" s="87">
        <v>1500</v>
      </c>
      <c r="J845" s="87"/>
      <c r="K845" s="87"/>
      <c r="L845" s="76">
        <v>4500</v>
      </c>
      <c r="M845" s="87"/>
      <c r="N845" s="87"/>
      <c r="O845" s="193"/>
      <c r="P845" s="193"/>
      <c r="Q845" s="87"/>
      <c r="R845" s="87"/>
      <c r="S845" s="87"/>
      <c r="T845" s="87"/>
      <c r="U845" s="87"/>
      <c r="V845" s="87"/>
      <c r="W845" s="87"/>
      <c r="X845" s="110">
        <f>SUM(C845:W845)</f>
        <v>16500</v>
      </c>
    </row>
    <row r="846" spans="1:25" ht="21" customHeight="1">
      <c r="A846" s="490" t="s">
        <v>230</v>
      </c>
      <c r="B846" s="491"/>
      <c r="C846" s="110">
        <f>SUM(C836:C845)</f>
        <v>319140</v>
      </c>
      <c r="D846" s="110">
        <f aca="true" t="shared" si="217" ref="D846:X846">SUM(D836:D845)</f>
        <v>141155</v>
      </c>
      <c r="E846" s="110">
        <f t="shared" si="217"/>
        <v>32410</v>
      </c>
      <c r="F846" s="110">
        <f t="shared" si="217"/>
        <v>0</v>
      </c>
      <c r="G846" s="110">
        <f t="shared" si="217"/>
        <v>47680</v>
      </c>
      <c r="H846" s="110">
        <f t="shared" si="217"/>
        <v>0</v>
      </c>
      <c r="I846" s="110">
        <f t="shared" si="217"/>
        <v>26760</v>
      </c>
      <c r="J846" s="110">
        <f t="shared" si="217"/>
        <v>0</v>
      </c>
      <c r="K846" s="110">
        <f t="shared" si="217"/>
        <v>0</v>
      </c>
      <c r="L846" s="110">
        <f t="shared" si="217"/>
        <v>76310</v>
      </c>
      <c r="M846" s="110">
        <f t="shared" si="217"/>
        <v>0</v>
      </c>
      <c r="N846" s="110">
        <f t="shared" si="217"/>
        <v>0</v>
      </c>
      <c r="O846" s="110">
        <f t="shared" si="217"/>
        <v>33540</v>
      </c>
      <c r="P846" s="110">
        <f t="shared" si="217"/>
        <v>0</v>
      </c>
      <c r="Q846" s="110">
        <f t="shared" si="217"/>
        <v>0</v>
      </c>
      <c r="R846" s="110">
        <f t="shared" si="217"/>
        <v>0</v>
      </c>
      <c r="S846" s="110">
        <f t="shared" si="217"/>
        <v>0</v>
      </c>
      <c r="T846" s="110">
        <f t="shared" si="217"/>
        <v>0</v>
      </c>
      <c r="U846" s="110">
        <f t="shared" si="217"/>
        <v>0</v>
      </c>
      <c r="V846" s="110">
        <f t="shared" si="217"/>
        <v>0</v>
      </c>
      <c r="W846" s="110">
        <f t="shared" si="217"/>
        <v>0</v>
      </c>
      <c r="X846" s="110">
        <f t="shared" si="217"/>
        <v>676995</v>
      </c>
      <c r="Y846" s="106">
        <f>398250+32100+246750-105</f>
        <v>676995</v>
      </c>
    </row>
    <row r="847" spans="1:25" ht="21" customHeight="1">
      <c r="A847" s="492" t="s">
        <v>231</v>
      </c>
      <c r="B847" s="493"/>
      <c r="C847" s="114">
        <f>+C846+C731</f>
        <v>2284608</v>
      </c>
      <c r="D847" s="114">
        <f aca="true" t="shared" si="218" ref="D847:X847">+D846+D731</f>
        <v>1016266.23</v>
      </c>
      <c r="E847" s="114">
        <f t="shared" si="218"/>
        <v>208553</v>
      </c>
      <c r="F847" s="114">
        <f t="shared" si="218"/>
        <v>0</v>
      </c>
      <c r="G847" s="114">
        <f t="shared" si="218"/>
        <v>226480</v>
      </c>
      <c r="H847" s="114">
        <f t="shared" si="218"/>
        <v>0</v>
      </c>
      <c r="I847" s="114">
        <f t="shared" si="218"/>
        <v>214080</v>
      </c>
      <c r="J847" s="114">
        <f t="shared" si="218"/>
        <v>0</v>
      </c>
      <c r="K847" s="114">
        <f t="shared" si="218"/>
        <v>0</v>
      </c>
      <c r="L847" s="114">
        <f t="shared" si="218"/>
        <v>623474</v>
      </c>
      <c r="M847" s="114">
        <f t="shared" si="218"/>
        <v>0</v>
      </c>
      <c r="N847" s="114">
        <f t="shared" si="218"/>
        <v>0</v>
      </c>
      <c r="O847" s="114">
        <f t="shared" si="218"/>
        <v>311949</v>
      </c>
      <c r="P847" s="114">
        <f t="shared" si="218"/>
        <v>0</v>
      </c>
      <c r="Q847" s="114">
        <f t="shared" si="218"/>
        <v>0</v>
      </c>
      <c r="R847" s="114">
        <f t="shared" si="218"/>
        <v>0</v>
      </c>
      <c r="S847" s="114">
        <f t="shared" si="218"/>
        <v>0</v>
      </c>
      <c r="T847" s="114">
        <f t="shared" si="218"/>
        <v>0</v>
      </c>
      <c r="U847" s="114">
        <f t="shared" si="218"/>
        <v>0</v>
      </c>
      <c r="V847" s="114">
        <f t="shared" si="218"/>
        <v>0</v>
      </c>
      <c r="W847" s="114">
        <f t="shared" si="218"/>
        <v>0</v>
      </c>
      <c r="X847" s="114">
        <f t="shared" si="218"/>
        <v>4885410.23</v>
      </c>
      <c r="Y847" s="106">
        <f>+X846-Y846</f>
        <v>0</v>
      </c>
    </row>
    <row r="848" spans="1:24" ht="21" customHeight="1">
      <c r="A848" s="488" t="s">
        <v>271</v>
      </c>
      <c r="B848" s="489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95"/>
      <c r="P848" s="195"/>
      <c r="Q848" s="115"/>
      <c r="R848" s="115"/>
      <c r="S848" s="115"/>
      <c r="T848" s="115"/>
      <c r="U848" s="115"/>
      <c r="V848" s="115"/>
      <c r="W848" s="115"/>
      <c r="X848" s="116">
        <f aca="true" t="shared" si="219" ref="X848:X853">SUM(C848:W848)</f>
        <v>0</v>
      </c>
    </row>
    <row r="849" spans="1:24" ht="21" customHeight="1">
      <c r="A849" s="108">
        <v>310100</v>
      </c>
      <c r="B849" s="73" t="s">
        <v>238</v>
      </c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192"/>
      <c r="P849" s="192"/>
      <c r="Q849" s="76"/>
      <c r="R849" s="76"/>
      <c r="S849" s="76"/>
      <c r="T849" s="76"/>
      <c r="U849" s="76"/>
      <c r="V849" s="76"/>
      <c r="W849" s="76"/>
      <c r="X849" s="110">
        <f t="shared" si="219"/>
        <v>0</v>
      </c>
    </row>
    <row r="850" spans="1:24" ht="21" customHeight="1">
      <c r="A850" s="108">
        <v>310200</v>
      </c>
      <c r="B850" s="73" t="s">
        <v>239</v>
      </c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192"/>
      <c r="P850" s="192"/>
      <c r="Q850" s="76"/>
      <c r="R850" s="76"/>
      <c r="S850" s="76"/>
      <c r="T850" s="76"/>
      <c r="U850" s="76"/>
      <c r="V850" s="76"/>
      <c r="W850" s="76"/>
      <c r="X850" s="110">
        <f t="shared" si="219"/>
        <v>0</v>
      </c>
    </row>
    <row r="851" spans="1:24" ht="21" customHeight="1">
      <c r="A851" s="108">
        <v>310300</v>
      </c>
      <c r="B851" s="73" t="s">
        <v>240</v>
      </c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192"/>
      <c r="P851" s="192"/>
      <c r="Q851" s="76"/>
      <c r="R851" s="76"/>
      <c r="S851" s="76"/>
      <c r="T851" s="76"/>
      <c r="U851" s="76"/>
      <c r="V851" s="76"/>
      <c r="W851" s="76"/>
      <c r="X851" s="110">
        <f t="shared" si="219"/>
        <v>0</v>
      </c>
    </row>
    <row r="852" spans="1:24" ht="21" customHeight="1">
      <c r="A852" s="108">
        <v>310400</v>
      </c>
      <c r="B852" s="73" t="s">
        <v>241</v>
      </c>
      <c r="C852" s="76">
        <v>17300</v>
      </c>
      <c r="D852" s="76">
        <v>4600</v>
      </c>
      <c r="E852" s="76"/>
      <c r="F852" s="76">
        <v>2500</v>
      </c>
      <c r="G852" s="76"/>
      <c r="H852" s="76"/>
      <c r="I852" s="76"/>
      <c r="J852" s="76"/>
      <c r="K852" s="76"/>
      <c r="L852" s="76">
        <v>4800</v>
      </c>
      <c r="M852" s="76"/>
      <c r="N852" s="76"/>
      <c r="O852" s="192">
        <v>2300</v>
      </c>
      <c r="P852" s="192"/>
      <c r="Q852" s="76"/>
      <c r="R852" s="76"/>
      <c r="S852" s="76"/>
      <c r="T852" s="76"/>
      <c r="U852" s="76"/>
      <c r="V852" s="76"/>
      <c r="W852" s="76"/>
      <c r="X852" s="110">
        <f t="shared" si="219"/>
        <v>31500</v>
      </c>
    </row>
    <row r="853" spans="1:24" ht="21" customHeight="1">
      <c r="A853" s="108">
        <v>310500</v>
      </c>
      <c r="B853" s="73" t="s">
        <v>242</v>
      </c>
      <c r="C853" s="76">
        <v>2130</v>
      </c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192"/>
      <c r="P853" s="192"/>
      <c r="Q853" s="76"/>
      <c r="R853" s="76"/>
      <c r="S853" s="76"/>
      <c r="T853" s="76"/>
      <c r="U853" s="76"/>
      <c r="V853" s="76"/>
      <c r="W853" s="76"/>
      <c r="X853" s="110">
        <f t="shared" si="219"/>
        <v>2130</v>
      </c>
    </row>
    <row r="854" spans="1:24" ht="21" customHeight="1">
      <c r="A854" s="111">
        <v>310600</v>
      </c>
      <c r="B854" s="74" t="s">
        <v>243</v>
      </c>
      <c r="C854" s="76"/>
      <c r="D854" s="76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193"/>
      <c r="P854" s="193"/>
      <c r="Q854" s="87"/>
      <c r="R854" s="87"/>
      <c r="S854" s="87"/>
      <c r="T854" s="87"/>
      <c r="U854" s="87"/>
      <c r="V854" s="87"/>
      <c r="W854" s="87"/>
      <c r="X854" s="113">
        <f>SUM(C854:W854)</f>
        <v>0</v>
      </c>
    </row>
    <row r="855" spans="1:24" ht="21" customHeight="1">
      <c r="A855" s="490" t="s">
        <v>230</v>
      </c>
      <c r="B855" s="491"/>
      <c r="C855" s="110">
        <f>SUM(C849:C854)</f>
        <v>19430</v>
      </c>
      <c r="D855" s="110">
        <f aca="true" t="shared" si="220" ref="D855:U855">SUM(D849:D854)</f>
        <v>4600</v>
      </c>
      <c r="E855" s="110">
        <f t="shared" si="220"/>
        <v>0</v>
      </c>
      <c r="F855" s="110">
        <f t="shared" si="220"/>
        <v>2500</v>
      </c>
      <c r="G855" s="110">
        <f t="shared" si="220"/>
        <v>0</v>
      </c>
      <c r="H855" s="110">
        <f t="shared" si="220"/>
        <v>0</v>
      </c>
      <c r="I855" s="110">
        <f t="shared" si="220"/>
        <v>0</v>
      </c>
      <c r="J855" s="110">
        <f t="shared" si="220"/>
        <v>0</v>
      </c>
      <c r="K855" s="110">
        <f t="shared" si="220"/>
        <v>0</v>
      </c>
      <c r="L855" s="110">
        <f t="shared" si="220"/>
        <v>4800</v>
      </c>
      <c r="M855" s="110">
        <f t="shared" si="220"/>
        <v>0</v>
      </c>
      <c r="N855" s="110">
        <f t="shared" si="220"/>
        <v>0</v>
      </c>
      <c r="O855" s="110">
        <f t="shared" si="220"/>
        <v>2300</v>
      </c>
      <c r="P855" s="110">
        <f t="shared" si="220"/>
        <v>0</v>
      </c>
      <c r="Q855" s="110">
        <f t="shared" si="220"/>
        <v>0</v>
      </c>
      <c r="R855" s="110">
        <f t="shared" si="220"/>
        <v>0</v>
      </c>
      <c r="S855" s="110">
        <f t="shared" si="220"/>
        <v>0</v>
      </c>
      <c r="T855" s="110">
        <f t="shared" si="220"/>
        <v>0</v>
      </c>
      <c r="U855" s="110">
        <f t="shared" si="220"/>
        <v>0</v>
      </c>
      <c r="V855" s="110">
        <f>SUM(V849:V854)</f>
        <v>0</v>
      </c>
      <c r="W855" s="110">
        <f>SUM(W849:W854)</f>
        <v>0</v>
      </c>
      <c r="X855" s="110">
        <f>SUM(C855:W855)</f>
        <v>33630</v>
      </c>
    </row>
    <row r="856" spans="1:24" ht="21" customHeight="1">
      <c r="A856" s="492" t="s">
        <v>231</v>
      </c>
      <c r="B856" s="493"/>
      <c r="C856" s="114">
        <f>+C855+C740</f>
        <v>156104</v>
      </c>
      <c r="D856" s="114">
        <f aca="true" t="shared" si="221" ref="D856:X856">+D855+D740</f>
        <v>31150</v>
      </c>
      <c r="E856" s="114">
        <f t="shared" si="221"/>
        <v>0</v>
      </c>
      <c r="F856" s="114">
        <f t="shared" si="221"/>
        <v>17500</v>
      </c>
      <c r="G856" s="114">
        <f t="shared" si="221"/>
        <v>0</v>
      </c>
      <c r="H856" s="114">
        <f t="shared" si="221"/>
        <v>0</v>
      </c>
      <c r="I856" s="114">
        <f t="shared" si="221"/>
        <v>0</v>
      </c>
      <c r="J856" s="114">
        <f t="shared" si="221"/>
        <v>0</v>
      </c>
      <c r="K856" s="114">
        <f t="shared" si="221"/>
        <v>0</v>
      </c>
      <c r="L856" s="114">
        <f t="shared" si="221"/>
        <v>38537</v>
      </c>
      <c r="M856" s="114">
        <f t="shared" si="221"/>
        <v>0</v>
      </c>
      <c r="N856" s="114">
        <f t="shared" si="221"/>
        <v>0</v>
      </c>
      <c r="O856" s="114">
        <f t="shared" si="221"/>
        <v>15050</v>
      </c>
      <c r="P856" s="114">
        <f t="shared" si="221"/>
        <v>0</v>
      </c>
      <c r="Q856" s="114">
        <f t="shared" si="221"/>
        <v>0</v>
      </c>
      <c r="R856" s="114">
        <f t="shared" si="221"/>
        <v>0</v>
      </c>
      <c r="S856" s="114">
        <f t="shared" si="221"/>
        <v>0</v>
      </c>
      <c r="T856" s="114">
        <f t="shared" si="221"/>
        <v>0</v>
      </c>
      <c r="U856" s="114">
        <f t="shared" si="221"/>
        <v>0</v>
      </c>
      <c r="V856" s="114">
        <f t="shared" si="221"/>
        <v>0</v>
      </c>
      <c r="W856" s="114">
        <f t="shared" si="221"/>
        <v>0</v>
      </c>
      <c r="X856" s="114">
        <f t="shared" si="221"/>
        <v>258341</v>
      </c>
    </row>
    <row r="857" spans="1:24" ht="21" customHeight="1">
      <c r="A857" s="488" t="s">
        <v>272</v>
      </c>
      <c r="B857" s="489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95"/>
      <c r="P857" s="195"/>
      <c r="Q857" s="115"/>
      <c r="R857" s="115"/>
      <c r="S857" s="115"/>
      <c r="T857" s="115"/>
      <c r="U857" s="115"/>
      <c r="V857" s="115"/>
      <c r="W857" s="115"/>
      <c r="X857" s="116">
        <f>SUM(C857:W857)</f>
        <v>0</v>
      </c>
    </row>
    <row r="858" spans="1:24" ht="21" customHeight="1">
      <c r="A858" s="108">
        <v>320100</v>
      </c>
      <c r="B858" s="73" t="s">
        <v>244</v>
      </c>
      <c r="C858" s="76">
        <f>7000+7000+4000</f>
        <v>18000</v>
      </c>
      <c r="D858" s="76"/>
      <c r="E858" s="76"/>
      <c r="F858" s="76"/>
      <c r="G858" s="76">
        <f>7000+7000+4500</f>
        <v>18500</v>
      </c>
      <c r="H858" s="76"/>
      <c r="I858" s="76"/>
      <c r="J858" s="76">
        <f>7000+7000</f>
        <v>14000</v>
      </c>
      <c r="K858" s="76"/>
      <c r="L858" s="76">
        <v>5800</v>
      </c>
      <c r="M858" s="76"/>
      <c r="N858" s="76">
        <f>7000+7000+7000+7000+10157.5</f>
        <v>38157.5</v>
      </c>
      <c r="O858" s="192"/>
      <c r="P858" s="192">
        <v>3900</v>
      </c>
      <c r="Q858" s="76"/>
      <c r="R858" s="76"/>
      <c r="S858" s="76"/>
      <c r="T858" s="76"/>
      <c r="U858" s="76"/>
      <c r="V858" s="76">
        <f>13000+8000</f>
        <v>21000</v>
      </c>
      <c r="W858" s="76"/>
      <c r="X858" s="110">
        <f>SUM(C858:W858)</f>
        <v>119357.5</v>
      </c>
    </row>
    <row r="859" spans="1:24" ht="21" customHeight="1">
      <c r="A859" s="108">
        <v>320200</v>
      </c>
      <c r="B859" s="73" t="s">
        <v>245</v>
      </c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192"/>
      <c r="P859" s="192"/>
      <c r="Q859" s="76"/>
      <c r="R859" s="76"/>
      <c r="S859" s="76"/>
      <c r="T859" s="76"/>
      <c r="U859" s="76"/>
      <c r="V859" s="76"/>
      <c r="W859" s="76"/>
      <c r="X859" s="110">
        <f>SUM(C859:W859)</f>
        <v>0</v>
      </c>
    </row>
    <row r="860" spans="1:24" ht="21" customHeight="1">
      <c r="A860" s="108">
        <v>320300</v>
      </c>
      <c r="B860" s="73" t="s">
        <v>246</v>
      </c>
      <c r="C860" s="76">
        <f>8973.1+6879.1</f>
        <v>15852.2</v>
      </c>
      <c r="D860" s="76"/>
      <c r="E860" s="76"/>
      <c r="F860" s="76">
        <f>810+1200+4720</f>
        <v>6730</v>
      </c>
      <c r="G860" s="76"/>
      <c r="H860" s="76"/>
      <c r="I860" s="76"/>
      <c r="J860" s="76"/>
      <c r="K860" s="76"/>
      <c r="L860" s="76"/>
      <c r="M860" s="76"/>
      <c r="N860" s="76"/>
      <c r="O860" s="192"/>
      <c r="P860" s="192">
        <v>12000</v>
      </c>
      <c r="Q860" s="76"/>
      <c r="R860" s="76">
        <f>13800+28000+10000</f>
        <v>51800</v>
      </c>
      <c r="S860" s="76"/>
      <c r="T860" s="76"/>
      <c r="U860" s="76"/>
      <c r="V860" s="76"/>
      <c r="W860" s="76"/>
      <c r="X860" s="110">
        <f>SUM(C860:W860)</f>
        <v>86382.2</v>
      </c>
    </row>
    <row r="861" spans="1:24" ht="21" customHeight="1">
      <c r="A861" s="111">
        <v>320400</v>
      </c>
      <c r="B861" s="74" t="s">
        <v>247</v>
      </c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193"/>
      <c r="P861" s="193"/>
      <c r="Q861" s="87"/>
      <c r="R861" s="87"/>
      <c r="S861" s="87"/>
      <c r="T861" s="87"/>
      <c r="U861" s="87"/>
      <c r="V861" s="87"/>
      <c r="W861" s="87"/>
      <c r="X861" s="110">
        <f>SUM(C861:W861)</f>
        <v>0</v>
      </c>
    </row>
    <row r="862" spans="1:25" ht="21" customHeight="1">
      <c r="A862" s="490" t="s">
        <v>230</v>
      </c>
      <c r="B862" s="491"/>
      <c r="C862" s="110">
        <f>SUM(C858:C861)</f>
        <v>33852.2</v>
      </c>
      <c r="D862" s="110">
        <f aca="true" t="shared" si="222" ref="D862:W862">SUM(D858:D861)</f>
        <v>0</v>
      </c>
      <c r="E862" s="110">
        <f t="shared" si="222"/>
        <v>0</v>
      </c>
      <c r="F862" s="110">
        <f t="shared" si="222"/>
        <v>6730</v>
      </c>
      <c r="G862" s="110">
        <f t="shared" si="222"/>
        <v>18500</v>
      </c>
      <c r="H862" s="110">
        <f t="shared" si="222"/>
        <v>0</v>
      </c>
      <c r="I862" s="110">
        <f t="shared" si="222"/>
        <v>0</v>
      </c>
      <c r="J862" s="110">
        <f t="shared" si="222"/>
        <v>14000</v>
      </c>
      <c r="K862" s="110">
        <f t="shared" si="222"/>
        <v>0</v>
      </c>
      <c r="L862" s="110">
        <f t="shared" si="222"/>
        <v>5800</v>
      </c>
      <c r="M862" s="110">
        <f t="shared" si="222"/>
        <v>0</v>
      </c>
      <c r="N862" s="110">
        <f t="shared" si="222"/>
        <v>38157.5</v>
      </c>
      <c r="O862" s="110">
        <f t="shared" si="222"/>
        <v>0</v>
      </c>
      <c r="P862" s="110">
        <f t="shared" si="222"/>
        <v>15900</v>
      </c>
      <c r="Q862" s="110">
        <f t="shared" si="222"/>
        <v>0</v>
      </c>
      <c r="R862" s="110">
        <f t="shared" si="222"/>
        <v>51800</v>
      </c>
      <c r="S862" s="110">
        <f t="shared" si="222"/>
        <v>0</v>
      </c>
      <c r="T862" s="110">
        <f t="shared" si="222"/>
        <v>0</v>
      </c>
      <c r="U862" s="110">
        <f t="shared" si="222"/>
        <v>0</v>
      </c>
      <c r="V862" s="110">
        <f t="shared" si="222"/>
        <v>21000</v>
      </c>
      <c r="W862" s="110">
        <f t="shared" si="222"/>
        <v>0</v>
      </c>
      <c r="X862" s="110">
        <f>SUM(X858:X861)</f>
        <v>205739.7</v>
      </c>
      <c r="Y862" s="106">
        <f>209439.7+6200-3700</f>
        <v>211939.7</v>
      </c>
    </row>
    <row r="863" spans="1:25" ht="21" customHeight="1">
      <c r="A863" s="492" t="s">
        <v>231</v>
      </c>
      <c r="B863" s="493"/>
      <c r="C863" s="114">
        <f>+C862+C747</f>
        <v>401542.21</v>
      </c>
      <c r="D863" s="114">
        <f aca="true" t="shared" si="223" ref="D863:X863">+D862+D747</f>
        <v>50443.8</v>
      </c>
      <c r="E863" s="114">
        <f t="shared" si="223"/>
        <v>0</v>
      </c>
      <c r="F863" s="114">
        <f t="shared" si="223"/>
        <v>51597.4</v>
      </c>
      <c r="G863" s="114">
        <f t="shared" si="223"/>
        <v>234962</v>
      </c>
      <c r="H863" s="114">
        <f t="shared" si="223"/>
        <v>490000</v>
      </c>
      <c r="I863" s="114">
        <f t="shared" si="223"/>
        <v>0</v>
      </c>
      <c r="J863" s="114">
        <f t="shared" si="223"/>
        <v>98000</v>
      </c>
      <c r="K863" s="114">
        <f t="shared" si="223"/>
        <v>0</v>
      </c>
      <c r="L863" s="114">
        <f t="shared" si="223"/>
        <v>23020</v>
      </c>
      <c r="M863" s="114">
        <f t="shared" si="223"/>
        <v>0</v>
      </c>
      <c r="N863" s="114">
        <f t="shared" si="223"/>
        <v>279978.75</v>
      </c>
      <c r="O863" s="114">
        <f t="shared" si="223"/>
        <v>0</v>
      </c>
      <c r="P863" s="114">
        <f t="shared" si="223"/>
        <v>122760</v>
      </c>
      <c r="Q863" s="114">
        <f t="shared" si="223"/>
        <v>26840</v>
      </c>
      <c r="R863" s="114">
        <f t="shared" si="223"/>
        <v>276905</v>
      </c>
      <c r="S863" s="114">
        <f t="shared" si="223"/>
        <v>77215</v>
      </c>
      <c r="T863" s="114">
        <f t="shared" si="223"/>
        <v>0</v>
      </c>
      <c r="U863" s="114">
        <f t="shared" si="223"/>
        <v>0</v>
      </c>
      <c r="V863" s="114">
        <f t="shared" si="223"/>
        <v>89185</v>
      </c>
      <c r="W863" s="114">
        <f t="shared" si="223"/>
        <v>0</v>
      </c>
      <c r="X863" s="114">
        <f t="shared" si="223"/>
        <v>2222449.16</v>
      </c>
      <c r="Y863" s="106">
        <f>+X862-Y862</f>
        <v>-6200</v>
      </c>
    </row>
    <row r="864" spans="1:24" ht="21" customHeight="1">
      <c r="A864" s="488" t="s">
        <v>273</v>
      </c>
      <c r="B864" s="489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95"/>
      <c r="P864" s="195"/>
      <c r="Q864" s="115"/>
      <c r="R864" s="115"/>
      <c r="S864" s="115"/>
      <c r="T864" s="115"/>
      <c r="U864" s="115"/>
      <c r="V864" s="115"/>
      <c r="W864" s="115"/>
      <c r="X864" s="116">
        <f>SUM(C864:W864)</f>
        <v>0</v>
      </c>
    </row>
    <row r="865" spans="1:24" ht="21" customHeight="1">
      <c r="A865" s="108">
        <v>330100</v>
      </c>
      <c r="B865" s="73" t="s">
        <v>248</v>
      </c>
      <c r="C865" s="76">
        <v>3700</v>
      </c>
      <c r="D865" s="76">
        <v>15990</v>
      </c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192"/>
      <c r="P865" s="192"/>
      <c r="Q865" s="76"/>
      <c r="R865" s="76"/>
      <c r="S865" s="76"/>
      <c r="T865" s="76"/>
      <c r="U865" s="76"/>
      <c r="V865" s="76"/>
      <c r="W865" s="76"/>
      <c r="X865" s="110">
        <f>SUM(C865:W865)</f>
        <v>19690</v>
      </c>
    </row>
    <row r="866" spans="1:24" ht="21" customHeight="1">
      <c r="A866" s="108">
        <v>330200</v>
      </c>
      <c r="B866" s="73" t="s">
        <v>249</v>
      </c>
      <c r="C866" s="76">
        <v>2080</v>
      </c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192"/>
      <c r="P866" s="192"/>
      <c r="Q866" s="76"/>
      <c r="R866" s="76"/>
      <c r="S866" s="76"/>
      <c r="T866" s="76"/>
      <c r="U866" s="76"/>
      <c r="V866" s="76">
        <v>3200</v>
      </c>
      <c r="W866" s="76"/>
      <c r="X866" s="110">
        <f>SUM(C866:W866)</f>
        <v>5280</v>
      </c>
    </row>
    <row r="867" spans="1:24" ht="21" customHeight="1">
      <c r="A867" s="108">
        <v>330300</v>
      </c>
      <c r="B867" s="73" t="s">
        <v>326</v>
      </c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192"/>
      <c r="P867" s="192"/>
      <c r="Q867" s="76"/>
      <c r="R867" s="76"/>
      <c r="S867" s="76"/>
      <c r="T867" s="76"/>
      <c r="U867" s="76"/>
      <c r="V867" s="76"/>
      <c r="W867" s="76"/>
      <c r="X867" s="110">
        <f>SUM(C867:W867)</f>
        <v>0</v>
      </c>
    </row>
    <row r="868" spans="1:24" ht="21" customHeight="1">
      <c r="A868" s="108">
        <v>330400</v>
      </c>
      <c r="B868" s="73" t="s">
        <v>274</v>
      </c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192"/>
      <c r="P868" s="192"/>
      <c r="Q868" s="76"/>
      <c r="R868" s="76"/>
      <c r="S868" s="76"/>
      <c r="T868" s="76"/>
      <c r="U868" s="76"/>
      <c r="V868" s="76"/>
      <c r="W868" s="76"/>
      <c r="X868" s="110">
        <f>SUM(C868:W868)</f>
        <v>0</v>
      </c>
    </row>
    <row r="869" spans="1:24" ht="21" customHeight="1">
      <c r="A869" s="108">
        <v>330600</v>
      </c>
      <c r="B869" s="73" t="s">
        <v>250</v>
      </c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192"/>
      <c r="P869" s="192"/>
      <c r="Q869" s="76"/>
      <c r="R869" s="76"/>
      <c r="S869" s="76"/>
      <c r="T869" s="76"/>
      <c r="U869" s="76"/>
      <c r="V869" s="76">
        <v>14422</v>
      </c>
      <c r="W869" s="76"/>
      <c r="X869" s="110">
        <f>SUM(C869:W869)</f>
        <v>14422</v>
      </c>
    </row>
    <row r="870" spans="1:24" ht="21" customHeight="1">
      <c r="A870" s="108">
        <v>330700</v>
      </c>
      <c r="B870" s="73" t="s">
        <v>494</v>
      </c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192"/>
      <c r="P870" s="192"/>
      <c r="Q870" s="76"/>
      <c r="R870" s="76"/>
      <c r="S870" s="76"/>
      <c r="T870" s="76"/>
      <c r="U870" s="76"/>
      <c r="V870" s="76"/>
      <c r="W870" s="76"/>
      <c r="X870" s="110">
        <f>SUM(C870:W870)</f>
        <v>0</v>
      </c>
    </row>
    <row r="871" spans="1:24" ht="21" customHeight="1">
      <c r="A871" s="108">
        <v>330800</v>
      </c>
      <c r="B871" s="73" t="s">
        <v>251</v>
      </c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192"/>
      <c r="P871" s="192"/>
      <c r="Q871" s="76"/>
      <c r="R871" s="76"/>
      <c r="S871" s="76"/>
      <c r="T871" s="76"/>
      <c r="U871" s="76"/>
      <c r="V871" s="76"/>
      <c r="W871" s="76"/>
      <c r="X871" s="110">
        <f>SUM(C871:W871)</f>
        <v>0</v>
      </c>
    </row>
    <row r="872" spans="1:24" ht="21" customHeight="1">
      <c r="A872" s="108">
        <v>330900</v>
      </c>
      <c r="B872" s="73" t="s">
        <v>253</v>
      </c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192"/>
      <c r="P872" s="192"/>
      <c r="Q872" s="76"/>
      <c r="R872" s="76"/>
      <c r="S872" s="76"/>
      <c r="T872" s="76"/>
      <c r="U872" s="76"/>
      <c r="V872" s="76"/>
      <c r="W872" s="76"/>
      <c r="X872" s="110">
        <f>SUM(C872:W872)</f>
        <v>0</v>
      </c>
    </row>
    <row r="873" spans="1:24" ht="21" customHeight="1">
      <c r="A873" s="497" t="s">
        <v>194</v>
      </c>
      <c r="B873" s="497"/>
      <c r="C873" s="496" t="s">
        <v>196</v>
      </c>
      <c r="D873" s="496"/>
      <c r="E873" s="499" t="s">
        <v>199</v>
      </c>
      <c r="F873" s="500"/>
      <c r="G873" s="496" t="s">
        <v>201</v>
      </c>
      <c r="H873" s="497"/>
      <c r="I873" s="499" t="s">
        <v>215</v>
      </c>
      <c r="J873" s="500"/>
      <c r="K873" s="429" t="s">
        <v>216</v>
      </c>
      <c r="L873" s="499" t="s">
        <v>217</v>
      </c>
      <c r="M873" s="501"/>
      <c r="N873" s="500"/>
      <c r="O873" s="499" t="s">
        <v>218</v>
      </c>
      <c r="P873" s="500"/>
      <c r="Q873" s="499" t="s">
        <v>219</v>
      </c>
      <c r="R873" s="501"/>
      <c r="S873" s="500"/>
      <c r="T873" s="496" t="s">
        <v>220</v>
      </c>
      <c r="U873" s="497"/>
      <c r="V873" s="429" t="s">
        <v>284</v>
      </c>
      <c r="W873" s="429" t="s">
        <v>221</v>
      </c>
      <c r="X873" s="498" t="s">
        <v>17</v>
      </c>
    </row>
    <row r="874" spans="1:24" ht="21" customHeight="1">
      <c r="A874" s="497" t="s">
        <v>195</v>
      </c>
      <c r="B874" s="497"/>
      <c r="C874" s="429" t="s">
        <v>197</v>
      </c>
      <c r="D874" s="429" t="s">
        <v>198</v>
      </c>
      <c r="E874" s="429" t="s">
        <v>200</v>
      </c>
      <c r="F874" s="429" t="s">
        <v>288</v>
      </c>
      <c r="G874" s="429" t="s">
        <v>202</v>
      </c>
      <c r="H874" s="429" t="s">
        <v>203</v>
      </c>
      <c r="I874" s="429" t="s">
        <v>204</v>
      </c>
      <c r="J874" s="429" t="s">
        <v>205</v>
      </c>
      <c r="K874" s="429" t="s">
        <v>206</v>
      </c>
      <c r="L874" s="429" t="s">
        <v>207</v>
      </c>
      <c r="M874" s="429" t="s">
        <v>208</v>
      </c>
      <c r="N874" s="429" t="s">
        <v>334</v>
      </c>
      <c r="O874" s="430" t="s">
        <v>471</v>
      </c>
      <c r="P874" s="430" t="s">
        <v>209</v>
      </c>
      <c r="Q874" s="429" t="s">
        <v>210</v>
      </c>
      <c r="R874" s="429" t="s">
        <v>211</v>
      </c>
      <c r="S874" s="429" t="s">
        <v>290</v>
      </c>
      <c r="T874" s="429" t="s">
        <v>212</v>
      </c>
      <c r="U874" s="429" t="s">
        <v>213</v>
      </c>
      <c r="V874" s="429" t="s">
        <v>285</v>
      </c>
      <c r="W874" s="429" t="s">
        <v>214</v>
      </c>
      <c r="X874" s="498"/>
    </row>
    <row r="875" spans="1:24" ht="21" customHeight="1">
      <c r="A875" s="300">
        <v>331000</v>
      </c>
      <c r="B875" s="303" t="s">
        <v>462</v>
      </c>
      <c r="C875" s="304"/>
      <c r="D875" s="301"/>
      <c r="E875" s="301"/>
      <c r="F875" s="301"/>
      <c r="G875" s="301"/>
      <c r="H875" s="301"/>
      <c r="I875" s="301"/>
      <c r="J875" s="301"/>
      <c r="K875" s="301"/>
      <c r="L875" s="301"/>
      <c r="M875" s="301"/>
      <c r="N875" s="301"/>
      <c r="O875" s="302"/>
      <c r="P875" s="302"/>
      <c r="Q875" s="301"/>
      <c r="R875" s="301"/>
      <c r="S875" s="301"/>
      <c r="T875" s="301"/>
      <c r="U875" s="301"/>
      <c r="V875" s="301"/>
      <c r="W875" s="301"/>
      <c r="X875" s="110">
        <f>SUM(C875:W875)</f>
        <v>0</v>
      </c>
    </row>
    <row r="876" spans="1:24" ht="21" customHeight="1">
      <c r="A876" s="108">
        <v>331200</v>
      </c>
      <c r="B876" s="73" t="s">
        <v>254</v>
      </c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192"/>
      <c r="P876" s="192"/>
      <c r="Q876" s="76"/>
      <c r="R876" s="76"/>
      <c r="S876" s="76"/>
      <c r="T876" s="76"/>
      <c r="U876" s="76"/>
      <c r="V876" s="76"/>
      <c r="W876" s="76"/>
      <c r="X876" s="110">
        <f>SUM(C876:W876)</f>
        <v>0</v>
      </c>
    </row>
    <row r="877" spans="1:24" ht="21" customHeight="1">
      <c r="A877" s="108">
        <v>331300</v>
      </c>
      <c r="B877" s="73" t="s">
        <v>255</v>
      </c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192"/>
      <c r="P877" s="192"/>
      <c r="Q877" s="76"/>
      <c r="R877" s="76"/>
      <c r="S877" s="76"/>
      <c r="T877" s="76"/>
      <c r="U877" s="76"/>
      <c r="V877" s="76"/>
      <c r="W877" s="76"/>
      <c r="X877" s="110">
        <f>SUM(C877:W877)</f>
        <v>0</v>
      </c>
    </row>
    <row r="878" spans="1:24" ht="21" customHeight="1">
      <c r="A878" s="108">
        <v>331400</v>
      </c>
      <c r="B878" s="73" t="s">
        <v>252</v>
      </c>
      <c r="C878" s="76"/>
      <c r="D878" s="76">
        <v>8600</v>
      </c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192"/>
      <c r="P878" s="192"/>
      <c r="Q878" s="76"/>
      <c r="R878" s="76"/>
      <c r="S878" s="76"/>
      <c r="T878" s="76"/>
      <c r="U878" s="76"/>
      <c r="V878" s="76"/>
      <c r="W878" s="76"/>
      <c r="X878" s="110">
        <f>SUM(C878:W878)</f>
        <v>8600</v>
      </c>
    </row>
    <row r="879" spans="1:24" ht="21" customHeight="1">
      <c r="A879" s="108">
        <v>331500</v>
      </c>
      <c r="B879" s="73" t="s">
        <v>256</v>
      </c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192"/>
      <c r="P879" s="192"/>
      <c r="Q879" s="76"/>
      <c r="R879" s="76"/>
      <c r="S879" s="76"/>
      <c r="T879" s="76"/>
      <c r="U879" s="76"/>
      <c r="V879" s="76"/>
      <c r="W879" s="76"/>
      <c r="X879" s="110">
        <f>SUM(C879:W879)</f>
        <v>0</v>
      </c>
    </row>
    <row r="880" spans="1:24" ht="21" customHeight="1">
      <c r="A880" s="111">
        <v>331700</v>
      </c>
      <c r="B880" s="74" t="s">
        <v>257</v>
      </c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193"/>
      <c r="P880" s="193"/>
      <c r="Q880" s="87"/>
      <c r="R880" s="87"/>
      <c r="S880" s="87"/>
      <c r="T880" s="87"/>
      <c r="U880" s="87"/>
      <c r="V880" s="87"/>
      <c r="W880" s="87"/>
      <c r="X880" s="110">
        <f>SUM(C880:W880)</f>
        <v>0</v>
      </c>
    </row>
    <row r="881" spans="1:25" ht="21" customHeight="1">
      <c r="A881" s="490" t="s">
        <v>230</v>
      </c>
      <c r="B881" s="491"/>
      <c r="C881" s="110">
        <f aca="true" t="shared" si="224" ref="C881:W881">SUM(C865:C880)</f>
        <v>5780</v>
      </c>
      <c r="D881" s="110">
        <f t="shared" si="224"/>
        <v>24590</v>
      </c>
      <c r="E881" s="110">
        <f t="shared" si="224"/>
        <v>0</v>
      </c>
      <c r="F881" s="110">
        <f t="shared" si="224"/>
        <v>0</v>
      </c>
      <c r="G881" s="110">
        <f t="shared" si="224"/>
        <v>0</v>
      </c>
      <c r="H881" s="110">
        <f t="shared" si="224"/>
        <v>0</v>
      </c>
      <c r="I881" s="110">
        <f t="shared" si="224"/>
        <v>0</v>
      </c>
      <c r="J881" s="110">
        <f t="shared" si="224"/>
        <v>0</v>
      </c>
      <c r="K881" s="110">
        <f t="shared" si="224"/>
        <v>0</v>
      </c>
      <c r="L881" s="110">
        <f t="shared" si="224"/>
        <v>0</v>
      </c>
      <c r="M881" s="110">
        <f t="shared" si="224"/>
        <v>0</v>
      </c>
      <c r="N881" s="110">
        <f t="shared" si="224"/>
        <v>0</v>
      </c>
      <c r="O881" s="110">
        <f t="shared" si="224"/>
        <v>0</v>
      </c>
      <c r="P881" s="110">
        <f t="shared" si="224"/>
        <v>0</v>
      </c>
      <c r="Q881" s="110">
        <f t="shared" si="224"/>
        <v>0</v>
      </c>
      <c r="R881" s="110">
        <f t="shared" si="224"/>
        <v>0</v>
      </c>
      <c r="S881" s="110">
        <f t="shared" si="224"/>
        <v>0</v>
      </c>
      <c r="T881" s="110">
        <f t="shared" si="224"/>
        <v>0</v>
      </c>
      <c r="U881" s="110">
        <f t="shared" si="224"/>
        <v>0</v>
      </c>
      <c r="V881" s="110">
        <f t="shared" si="224"/>
        <v>17622</v>
      </c>
      <c r="W881" s="110">
        <f t="shared" si="224"/>
        <v>0</v>
      </c>
      <c r="X881" s="110">
        <f>SUM(X865:X880)</f>
        <v>47992</v>
      </c>
      <c r="Y881" s="106">
        <v>47992</v>
      </c>
    </row>
    <row r="882" spans="1:25" ht="21" customHeight="1">
      <c r="A882" s="492" t="s">
        <v>231</v>
      </c>
      <c r="B882" s="493"/>
      <c r="C882" s="114">
        <f>+C881+C766</f>
        <v>319636.54</v>
      </c>
      <c r="D882" s="114">
        <f aca="true" t="shared" si="225" ref="D882:X882">+D881+D766</f>
        <v>98630</v>
      </c>
      <c r="E882" s="114">
        <f t="shared" si="225"/>
        <v>0</v>
      </c>
      <c r="F882" s="114">
        <f t="shared" si="225"/>
        <v>0</v>
      </c>
      <c r="G882" s="114">
        <f t="shared" si="225"/>
        <v>0</v>
      </c>
      <c r="H882" s="114">
        <f t="shared" si="225"/>
        <v>0</v>
      </c>
      <c r="I882" s="114">
        <f t="shared" si="225"/>
        <v>0</v>
      </c>
      <c r="J882" s="114">
        <f t="shared" si="225"/>
        <v>46130</v>
      </c>
      <c r="K882" s="114">
        <f t="shared" si="225"/>
        <v>0</v>
      </c>
      <c r="L882" s="114">
        <f t="shared" si="225"/>
        <v>33090</v>
      </c>
      <c r="M882" s="114">
        <f t="shared" si="225"/>
        <v>2900</v>
      </c>
      <c r="N882" s="114">
        <f t="shared" si="225"/>
        <v>201240</v>
      </c>
      <c r="O882" s="114">
        <f t="shared" si="225"/>
        <v>0</v>
      </c>
      <c r="P882" s="114">
        <f t="shared" si="225"/>
        <v>0</v>
      </c>
      <c r="Q882" s="114">
        <f t="shared" si="225"/>
        <v>24870</v>
      </c>
      <c r="R882" s="114">
        <f t="shared" si="225"/>
        <v>0</v>
      </c>
      <c r="S882" s="114">
        <f t="shared" si="225"/>
        <v>0</v>
      </c>
      <c r="T882" s="114">
        <f t="shared" si="225"/>
        <v>0</v>
      </c>
      <c r="U882" s="114">
        <f t="shared" si="225"/>
        <v>24200</v>
      </c>
      <c r="V882" s="114">
        <f t="shared" si="225"/>
        <v>73927</v>
      </c>
      <c r="W882" s="114">
        <f t="shared" si="225"/>
        <v>0</v>
      </c>
      <c r="X882" s="114">
        <f t="shared" si="225"/>
        <v>824623.5399999999</v>
      </c>
      <c r="Y882" s="106">
        <f>+Y881-X881</f>
        <v>0</v>
      </c>
    </row>
    <row r="883" spans="1:24" ht="21" customHeight="1">
      <c r="A883" s="488" t="s">
        <v>275</v>
      </c>
      <c r="B883" s="489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95"/>
      <c r="P883" s="195"/>
      <c r="Q883" s="115"/>
      <c r="R883" s="115"/>
      <c r="S883" s="115"/>
      <c r="T883" s="115"/>
      <c r="U883" s="115"/>
      <c r="V883" s="115"/>
      <c r="W883" s="115"/>
      <c r="X883" s="116">
        <f>SUM(C883:W883)</f>
        <v>0</v>
      </c>
    </row>
    <row r="884" spans="1:24" ht="21" customHeight="1">
      <c r="A884" s="108">
        <v>340100</v>
      </c>
      <c r="B884" s="73" t="s">
        <v>258</v>
      </c>
      <c r="C884" s="76">
        <v>19298.06</v>
      </c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192"/>
      <c r="P884" s="192"/>
      <c r="Q884" s="76"/>
      <c r="R884" s="76"/>
      <c r="S884" s="76"/>
      <c r="T884" s="76"/>
      <c r="U884" s="76"/>
      <c r="V884" s="76">
        <v>57602.95</v>
      </c>
      <c r="W884" s="76"/>
      <c r="X884" s="110">
        <f>SUM(C884:W884)</f>
        <v>76901.01</v>
      </c>
    </row>
    <row r="885" spans="1:24" ht="21" customHeight="1">
      <c r="A885" s="108">
        <v>340300</v>
      </c>
      <c r="B885" s="73" t="s">
        <v>259</v>
      </c>
      <c r="C885" s="76">
        <v>486.9</v>
      </c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192"/>
      <c r="P885" s="192"/>
      <c r="Q885" s="76"/>
      <c r="R885" s="76"/>
      <c r="S885" s="76"/>
      <c r="T885" s="76"/>
      <c r="U885" s="76"/>
      <c r="V885" s="76"/>
      <c r="W885" s="76"/>
      <c r="X885" s="110">
        <f>SUM(C885:W885)</f>
        <v>486.9</v>
      </c>
    </row>
    <row r="886" spans="1:24" ht="21" customHeight="1">
      <c r="A886" s="108">
        <v>340400</v>
      </c>
      <c r="B886" s="73" t="s">
        <v>260</v>
      </c>
      <c r="C886" s="76">
        <v>1391</v>
      </c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192"/>
      <c r="P886" s="192"/>
      <c r="Q886" s="76"/>
      <c r="R886" s="76"/>
      <c r="S886" s="76"/>
      <c r="T886" s="76"/>
      <c r="U886" s="76"/>
      <c r="V886" s="76"/>
      <c r="W886" s="76"/>
      <c r="X886" s="110">
        <f>SUM(C886:W886)</f>
        <v>1391</v>
      </c>
    </row>
    <row r="887" spans="1:24" ht="21" customHeight="1">
      <c r="A887" s="111">
        <v>340500</v>
      </c>
      <c r="B887" s="74" t="s">
        <v>261</v>
      </c>
      <c r="C887" s="76">
        <v>8560</v>
      </c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193"/>
      <c r="P887" s="193"/>
      <c r="Q887" s="87"/>
      <c r="R887" s="87"/>
      <c r="S887" s="87"/>
      <c r="T887" s="87"/>
      <c r="U887" s="87"/>
      <c r="V887" s="87"/>
      <c r="W887" s="87"/>
      <c r="X887" s="113">
        <f>SUM(C887:W887)</f>
        <v>8560</v>
      </c>
    </row>
    <row r="888" spans="1:24" ht="21" customHeight="1">
      <c r="A888" s="490" t="s">
        <v>230</v>
      </c>
      <c r="B888" s="491"/>
      <c r="C888" s="110">
        <f>SUM(C884:C887)</f>
        <v>29735.960000000003</v>
      </c>
      <c r="D888" s="110">
        <f aca="true" t="shared" si="226" ref="D888:X888">SUM(D884:D887)</f>
        <v>0</v>
      </c>
      <c r="E888" s="110">
        <f t="shared" si="226"/>
        <v>0</v>
      </c>
      <c r="F888" s="110">
        <f t="shared" si="226"/>
        <v>0</v>
      </c>
      <c r="G888" s="110">
        <f t="shared" si="226"/>
        <v>0</v>
      </c>
      <c r="H888" s="110">
        <f t="shared" si="226"/>
        <v>0</v>
      </c>
      <c r="I888" s="110">
        <f t="shared" si="226"/>
        <v>0</v>
      </c>
      <c r="J888" s="110">
        <f t="shared" si="226"/>
        <v>0</v>
      </c>
      <c r="K888" s="110">
        <f t="shared" si="226"/>
        <v>0</v>
      </c>
      <c r="L888" s="110">
        <f t="shared" si="226"/>
        <v>0</v>
      </c>
      <c r="M888" s="110">
        <f t="shared" si="226"/>
        <v>0</v>
      </c>
      <c r="N888" s="110">
        <f t="shared" si="226"/>
        <v>0</v>
      </c>
      <c r="O888" s="110">
        <f t="shared" si="226"/>
        <v>0</v>
      </c>
      <c r="P888" s="110">
        <f t="shared" si="226"/>
        <v>0</v>
      </c>
      <c r="Q888" s="110">
        <f t="shared" si="226"/>
        <v>0</v>
      </c>
      <c r="R888" s="110">
        <f t="shared" si="226"/>
        <v>0</v>
      </c>
      <c r="S888" s="110">
        <f t="shared" si="226"/>
        <v>0</v>
      </c>
      <c r="T888" s="110">
        <f t="shared" si="226"/>
        <v>0</v>
      </c>
      <c r="U888" s="110">
        <f t="shared" si="226"/>
        <v>0</v>
      </c>
      <c r="V888" s="110">
        <f t="shared" si="226"/>
        <v>57602.95</v>
      </c>
      <c r="W888" s="110">
        <f t="shared" si="226"/>
        <v>0</v>
      </c>
      <c r="X888" s="110">
        <f t="shared" si="226"/>
        <v>87338.90999999999</v>
      </c>
    </row>
    <row r="889" spans="1:24" ht="21" customHeight="1">
      <c r="A889" s="492" t="s">
        <v>231</v>
      </c>
      <c r="B889" s="493"/>
      <c r="C889" s="114">
        <f>+C888+C773</f>
        <v>237257.75999999998</v>
      </c>
      <c r="D889" s="114">
        <f aca="true" t="shared" si="227" ref="D889:X889">+D888+D773</f>
        <v>0</v>
      </c>
      <c r="E889" s="114">
        <f t="shared" si="227"/>
        <v>0</v>
      </c>
      <c r="F889" s="114">
        <f t="shared" si="227"/>
        <v>0</v>
      </c>
      <c r="G889" s="114">
        <f t="shared" si="227"/>
        <v>0</v>
      </c>
      <c r="H889" s="114">
        <f t="shared" si="227"/>
        <v>0</v>
      </c>
      <c r="I889" s="114">
        <f t="shared" si="227"/>
        <v>0</v>
      </c>
      <c r="J889" s="114">
        <f t="shared" si="227"/>
        <v>0</v>
      </c>
      <c r="K889" s="114">
        <f t="shared" si="227"/>
        <v>0</v>
      </c>
      <c r="L889" s="114">
        <f t="shared" si="227"/>
        <v>0</v>
      </c>
      <c r="M889" s="114">
        <f t="shared" si="227"/>
        <v>0</v>
      </c>
      <c r="N889" s="114">
        <f t="shared" si="227"/>
        <v>0</v>
      </c>
      <c r="O889" s="114">
        <f t="shared" si="227"/>
        <v>0</v>
      </c>
      <c r="P889" s="114">
        <f t="shared" si="227"/>
        <v>0</v>
      </c>
      <c r="Q889" s="114">
        <f t="shared" si="227"/>
        <v>0</v>
      </c>
      <c r="R889" s="114">
        <f t="shared" si="227"/>
        <v>0</v>
      </c>
      <c r="S889" s="114">
        <f t="shared" si="227"/>
        <v>0</v>
      </c>
      <c r="T889" s="114">
        <f t="shared" si="227"/>
        <v>0</v>
      </c>
      <c r="U889" s="114">
        <f t="shared" si="227"/>
        <v>0</v>
      </c>
      <c r="V889" s="114">
        <f t="shared" si="227"/>
        <v>377371.54000000004</v>
      </c>
      <c r="W889" s="114">
        <f t="shared" si="227"/>
        <v>0</v>
      </c>
      <c r="X889" s="114">
        <f t="shared" si="227"/>
        <v>614629.2999999999</v>
      </c>
    </row>
    <row r="890" spans="1:24" ht="21" customHeight="1">
      <c r="A890" s="488" t="s">
        <v>276</v>
      </c>
      <c r="B890" s="489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95"/>
      <c r="P890" s="195"/>
      <c r="Q890" s="115"/>
      <c r="R890" s="115"/>
      <c r="S890" s="115"/>
      <c r="T890" s="115"/>
      <c r="U890" s="115"/>
      <c r="V890" s="115"/>
      <c r="W890" s="115"/>
      <c r="X890" s="116">
        <f aca="true" t="shared" si="228" ref="X890:X902">SUM(C890:W890)</f>
        <v>0</v>
      </c>
    </row>
    <row r="891" spans="1:24" ht="21" customHeight="1">
      <c r="A891" s="108">
        <v>410400</v>
      </c>
      <c r="B891" s="73" t="s">
        <v>262</v>
      </c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192"/>
      <c r="P891" s="192"/>
      <c r="Q891" s="76"/>
      <c r="R891" s="76"/>
      <c r="S891" s="76"/>
      <c r="T891" s="76"/>
      <c r="U891" s="76"/>
      <c r="V891" s="76"/>
      <c r="W891" s="76"/>
      <c r="X891" s="110">
        <f t="shared" si="228"/>
        <v>0</v>
      </c>
    </row>
    <row r="892" spans="1:24" ht="21" customHeight="1">
      <c r="A892" s="108">
        <v>410200</v>
      </c>
      <c r="B892" s="73" t="s">
        <v>310</v>
      </c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192"/>
      <c r="P892" s="192"/>
      <c r="Q892" s="76"/>
      <c r="R892" s="76"/>
      <c r="S892" s="76"/>
      <c r="T892" s="76"/>
      <c r="U892" s="76"/>
      <c r="V892" s="76"/>
      <c r="W892" s="76"/>
      <c r="X892" s="110">
        <f t="shared" si="228"/>
        <v>0</v>
      </c>
    </row>
    <row r="893" spans="1:24" ht="21" customHeight="1">
      <c r="A893" s="108">
        <v>410300</v>
      </c>
      <c r="B893" s="73" t="s">
        <v>263</v>
      </c>
      <c r="C893" s="76"/>
      <c r="D893" s="76">
        <v>37297</v>
      </c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192"/>
      <c r="P893" s="192"/>
      <c r="Q893" s="76"/>
      <c r="R893" s="76"/>
      <c r="S893" s="76"/>
      <c r="T893" s="76"/>
      <c r="U893" s="76"/>
      <c r="V893" s="76">
        <v>37297</v>
      </c>
      <c r="W893" s="76"/>
      <c r="X893" s="110">
        <f t="shared" si="228"/>
        <v>74594</v>
      </c>
    </row>
    <row r="894" spans="1:24" ht="21" customHeight="1">
      <c r="A894" s="108">
        <v>410400</v>
      </c>
      <c r="B894" s="73" t="s">
        <v>311</v>
      </c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193"/>
      <c r="P894" s="193"/>
      <c r="Q894" s="87"/>
      <c r="R894" s="87"/>
      <c r="S894" s="87"/>
      <c r="T894" s="87"/>
      <c r="U894" s="87"/>
      <c r="V894" s="87"/>
      <c r="W894" s="87"/>
      <c r="X894" s="110">
        <f t="shared" si="228"/>
        <v>0</v>
      </c>
    </row>
    <row r="895" spans="1:24" ht="21" customHeight="1">
      <c r="A895" s="108">
        <v>410500</v>
      </c>
      <c r="B895" s="73" t="s">
        <v>312</v>
      </c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193"/>
      <c r="P895" s="193"/>
      <c r="Q895" s="87"/>
      <c r="R895" s="87"/>
      <c r="S895" s="87"/>
      <c r="T895" s="87"/>
      <c r="U895" s="87"/>
      <c r="V895" s="87"/>
      <c r="W895" s="87"/>
      <c r="X895" s="110">
        <f t="shared" si="228"/>
        <v>0</v>
      </c>
    </row>
    <row r="896" spans="1:24" ht="21" customHeight="1">
      <c r="A896" s="108">
        <v>410600</v>
      </c>
      <c r="B896" s="73" t="s">
        <v>313</v>
      </c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193"/>
      <c r="P896" s="193"/>
      <c r="Q896" s="87"/>
      <c r="R896" s="87"/>
      <c r="S896" s="87"/>
      <c r="T896" s="87"/>
      <c r="U896" s="87"/>
      <c r="V896" s="87"/>
      <c r="W896" s="87"/>
      <c r="X896" s="110">
        <f t="shared" si="228"/>
        <v>0</v>
      </c>
    </row>
    <row r="897" spans="1:24" ht="21" customHeight="1">
      <c r="A897" s="108">
        <v>410700</v>
      </c>
      <c r="B897" s="73" t="s">
        <v>264</v>
      </c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192"/>
      <c r="P897" s="192"/>
      <c r="Q897" s="76"/>
      <c r="R897" s="76"/>
      <c r="S897" s="76"/>
      <c r="T897" s="76"/>
      <c r="U897" s="76"/>
      <c r="V897" s="76"/>
      <c r="W897" s="76"/>
      <c r="X897" s="110">
        <f t="shared" si="228"/>
        <v>0</v>
      </c>
    </row>
    <row r="898" spans="1:24" ht="21" customHeight="1">
      <c r="A898" s="108">
        <v>410800</v>
      </c>
      <c r="B898" s="73" t="s">
        <v>314</v>
      </c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193"/>
      <c r="P898" s="193"/>
      <c r="Q898" s="87"/>
      <c r="R898" s="87"/>
      <c r="S898" s="87"/>
      <c r="T898" s="87"/>
      <c r="U898" s="87"/>
      <c r="V898" s="87"/>
      <c r="W898" s="87"/>
      <c r="X898" s="110">
        <f t="shared" si="228"/>
        <v>0</v>
      </c>
    </row>
    <row r="899" spans="1:24" ht="21" customHeight="1">
      <c r="A899" s="108">
        <v>410900</v>
      </c>
      <c r="B899" s="73" t="s">
        <v>347</v>
      </c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193"/>
      <c r="P899" s="193"/>
      <c r="Q899" s="87"/>
      <c r="R899" s="87"/>
      <c r="S899" s="87"/>
      <c r="T899" s="87"/>
      <c r="U899" s="87"/>
      <c r="V899" s="87"/>
      <c r="W899" s="87"/>
      <c r="X899" s="110">
        <f t="shared" si="228"/>
        <v>0</v>
      </c>
    </row>
    <row r="900" spans="1:24" ht="21" customHeight="1">
      <c r="A900" s="108">
        <v>411000</v>
      </c>
      <c r="B900" s="73" t="s">
        <v>449</v>
      </c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193"/>
      <c r="P900" s="193"/>
      <c r="Q900" s="87"/>
      <c r="R900" s="87"/>
      <c r="S900" s="87"/>
      <c r="T900" s="87"/>
      <c r="U900" s="87"/>
      <c r="V900" s="87"/>
      <c r="W900" s="87"/>
      <c r="X900" s="110">
        <f t="shared" si="228"/>
        <v>0</v>
      </c>
    </row>
    <row r="901" spans="1:24" ht="21" customHeight="1">
      <c r="A901" s="108">
        <v>411100</v>
      </c>
      <c r="B901" s="73" t="s">
        <v>371</v>
      </c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193"/>
      <c r="P901" s="193"/>
      <c r="Q901" s="87"/>
      <c r="R901" s="87"/>
      <c r="S901" s="87"/>
      <c r="T901" s="87"/>
      <c r="U901" s="87"/>
      <c r="V901" s="87"/>
      <c r="W901" s="87"/>
      <c r="X901" s="110">
        <f t="shared" si="228"/>
        <v>0</v>
      </c>
    </row>
    <row r="902" spans="1:24" ht="21" customHeight="1">
      <c r="A902" s="108">
        <v>411300</v>
      </c>
      <c r="B902" s="73" t="s">
        <v>450</v>
      </c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193"/>
      <c r="P902" s="193"/>
      <c r="Q902" s="87"/>
      <c r="R902" s="87"/>
      <c r="S902" s="87"/>
      <c r="T902" s="87"/>
      <c r="U902" s="87"/>
      <c r="V902" s="87"/>
      <c r="W902" s="87"/>
      <c r="X902" s="110">
        <f t="shared" si="228"/>
        <v>0</v>
      </c>
    </row>
    <row r="903" spans="1:24" ht="21" customHeight="1" hidden="1">
      <c r="A903" s="108">
        <v>411600</v>
      </c>
      <c r="B903" s="73" t="s">
        <v>315</v>
      </c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192"/>
      <c r="P903" s="192"/>
      <c r="Q903" s="76"/>
      <c r="R903" s="76"/>
      <c r="S903" s="76"/>
      <c r="T903" s="76"/>
      <c r="U903" s="76"/>
      <c r="V903" s="76"/>
      <c r="W903" s="76"/>
      <c r="X903" s="110">
        <f>SUM(C903:W903)</f>
        <v>0</v>
      </c>
    </row>
    <row r="904" spans="1:24" ht="21" customHeight="1" hidden="1">
      <c r="A904" s="108">
        <v>411800</v>
      </c>
      <c r="B904" s="73" t="s">
        <v>265</v>
      </c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192"/>
      <c r="P904" s="192"/>
      <c r="Q904" s="76"/>
      <c r="R904" s="76"/>
      <c r="S904" s="76"/>
      <c r="T904" s="76"/>
      <c r="U904" s="76"/>
      <c r="V904" s="76">
        <v>0</v>
      </c>
      <c r="W904" s="76"/>
      <c r="X904" s="110">
        <f>SUM(C904:W904)</f>
        <v>0</v>
      </c>
    </row>
    <row r="905" spans="1:24" ht="21" customHeight="1">
      <c r="A905" s="490" t="s">
        <v>230</v>
      </c>
      <c r="B905" s="491"/>
      <c r="C905" s="110">
        <f>SUM(C891:C904)</f>
        <v>0</v>
      </c>
      <c r="D905" s="110">
        <f aca="true" t="shared" si="229" ref="D905:O905">SUM(D891:D904)</f>
        <v>37297</v>
      </c>
      <c r="E905" s="110">
        <f t="shared" si="229"/>
        <v>0</v>
      </c>
      <c r="F905" s="110">
        <f t="shared" si="229"/>
        <v>0</v>
      </c>
      <c r="G905" s="110">
        <f t="shared" si="229"/>
        <v>0</v>
      </c>
      <c r="H905" s="110">
        <f t="shared" si="229"/>
        <v>0</v>
      </c>
      <c r="I905" s="110">
        <f t="shared" si="229"/>
        <v>0</v>
      </c>
      <c r="J905" s="110">
        <f t="shared" si="229"/>
        <v>0</v>
      </c>
      <c r="K905" s="110">
        <f t="shared" si="229"/>
        <v>0</v>
      </c>
      <c r="L905" s="110">
        <f t="shared" si="229"/>
        <v>0</v>
      </c>
      <c r="M905" s="110">
        <f t="shared" si="229"/>
        <v>0</v>
      </c>
      <c r="N905" s="110">
        <f t="shared" si="229"/>
        <v>0</v>
      </c>
      <c r="O905" s="110">
        <f t="shared" si="229"/>
        <v>0</v>
      </c>
      <c r="P905" s="194">
        <f>SUM(P891:P904)</f>
        <v>0</v>
      </c>
      <c r="Q905" s="110">
        <f>SUM(Q891:Q904)</f>
        <v>0</v>
      </c>
      <c r="R905" s="110">
        <f>SUM(R891:R904)</f>
        <v>0</v>
      </c>
      <c r="S905" s="110"/>
      <c r="T905" s="110">
        <f>SUM(T891:T904)</f>
        <v>0</v>
      </c>
      <c r="U905" s="110">
        <f>SUM(U891:U904)</f>
        <v>0</v>
      </c>
      <c r="V905" s="110">
        <f>SUM(V891:V904)</f>
        <v>37297</v>
      </c>
      <c r="W905" s="110">
        <f>SUM(W891:W904)</f>
        <v>0</v>
      </c>
      <c r="X905" s="110">
        <f>SUM(C905:W905)</f>
        <v>74594</v>
      </c>
    </row>
    <row r="906" spans="1:24" ht="21" customHeight="1">
      <c r="A906" s="492" t="s">
        <v>231</v>
      </c>
      <c r="B906" s="493"/>
      <c r="C906" s="114">
        <f>+C905+C790</f>
        <v>204237.7</v>
      </c>
      <c r="D906" s="114">
        <f aca="true" t="shared" si="230" ref="D906:X906">+D905+D790</f>
        <v>37297</v>
      </c>
      <c r="E906" s="114">
        <f t="shared" si="230"/>
        <v>0</v>
      </c>
      <c r="F906" s="114">
        <f t="shared" si="230"/>
        <v>0</v>
      </c>
      <c r="G906" s="114">
        <f t="shared" si="230"/>
        <v>0</v>
      </c>
      <c r="H906" s="114">
        <f t="shared" si="230"/>
        <v>0</v>
      </c>
      <c r="I906" s="114">
        <f t="shared" si="230"/>
        <v>0</v>
      </c>
      <c r="J906" s="114">
        <f t="shared" si="230"/>
        <v>0</v>
      </c>
      <c r="K906" s="114">
        <f t="shared" si="230"/>
        <v>0</v>
      </c>
      <c r="L906" s="114">
        <f t="shared" si="230"/>
        <v>47860</v>
      </c>
      <c r="M906" s="114">
        <f t="shared" si="230"/>
        <v>0</v>
      </c>
      <c r="N906" s="114">
        <f t="shared" si="230"/>
        <v>101800</v>
      </c>
      <c r="O906" s="114">
        <f t="shared" si="230"/>
        <v>0</v>
      </c>
      <c r="P906" s="114">
        <f t="shared" si="230"/>
        <v>0</v>
      </c>
      <c r="Q906" s="114">
        <f t="shared" si="230"/>
        <v>0</v>
      </c>
      <c r="R906" s="114">
        <f t="shared" si="230"/>
        <v>0</v>
      </c>
      <c r="S906" s="114">
        <f t="shared" si="230"/>
        <v>0</v>
      </c>
      <c r="T906" s="114">
        <f t="shared" si="230"/>
        <v>0</v>
      </c>
      <c r="U906" s="114">
        <f t="shared" si="230"/>
        <v>0</v>
      </c>
      <c r="V906" s="114">
        <f t="shared" si="230"/>
        <v>86297</v>
      </c>
      <c r="W906" s="114">
        <f t="shared" si="230"/>
        <v>0</v>
      </c>
      <c r="X906" s="114">
        <f t="shared" si="230"/>
        <v>477491.7</v>
      </c>
    </row>
    <row r="907" spans="1:24" ht="21" customHeight="1">
      <c r="A907" s="497" t="s">
        <v>194</v>
      </c>
      <c r="B907" s="497"/>
      <c r="C907" s="496" t="s">
        <v>196</v>
      </c>
      <c r="D907" s="496"/>
      <c r="E907" s="499" t="s">
        <v>199</v>
      </c>
      <c r="F907" s="500"/>
      <c r="G907" s="496" t="s">
        <v>201</v>
      </c>
      <c r="H907" s="497"/>
      <c r="I907" s="499" t="s">
        <v>215</v>
      </c>
      <c r="J907" s="500"/>
      <c r="K907" s="429" t="s">
        <v>216</v>
      </c>
      <c r="L907" s="499" t="s">
        <v>217</v>
      </c>
      <c r="M907" s="501"/>
      <c r="N907" s="500"/>
      <c r="O907" s="499" t="s">
        <v>218</v>
      </c>
      <c r="P907" s="500"/>
      <c r="Q907" s="499" t="s">
        <v>219</v>
      </c>
      <c r="R907" s="501"/>
      <c r="S907" s="500"/>
      <c r="T907" s="496" t="s">
        <v>220</v>
      </c>
      <c r="U907" s="497"/>
      <c r="V907" s="429" t="s">
        <v>284</v>
      </c>
      <c r="W907" s="429" t="s">
        <v>221</v>
      </c>
      <c r="X907" s="498" t="s">
        <v>17</v>
      </c>
    </row>
    <row r="908" spans="1:24" ht="21" customHeight="1">
      <c r="A908" s="497" t="s">
        <v>195</v>
      </c>
      <c r="B908" s="497"/>
      <c r="C908" s="429" t="s">
        <v>197</v>
      </c>
      <c r="D908" s="429" t="s">
        <v>198</v>
      </c>
      <c r="E908" s="429" t="s">
        <v>200</v>
      </c>
      <c r="F908" s="429" t="s">
        <v>288</v>
      </c>
      <c r="G908" s="429" t="s">
        <v>202</v>
      </c>
      <c r="H908" s="429" t="s">
        <v>203</v>
      </c>
      <c r="I908" s="429" t="s">
        <v>204</v>
      </c>
      <c r="J908" s="429" t="s">
        <v>205</v>
      </c>
      <c r="K908" s="429" t="s">
        <v>206</v>
      </c>
      <c r="L908" s="429" t="s">
        <v>207</v>
      </c>
      <c r="M908" s="429" t="s">
        <v>208</v>
      </c>
      <c r="N908" s="429" t="s">
        <v>334</v>
      </c>
      <c r="O908" s="430" t="s">
        <v>471</v>
      </c>
      <c r="P908" s="430" t="s">
        <v>209</v>
      </c>
      <c r="Q908" s="429" t="s">
        <v>210</v>
      </c>
      <c r="R908" s="429" t="s">
        <v>211</v>
      </c>
      <c r="S908" s="429" t="s">
        <v>290</v>
      </c>
      <c r="T908" s="429" t="s">
        <v>212</v>
      </c>
      <c r="U908" s="429" t="s">
        <v>213</v>
      </c>
      <c r="V908" s="429" t="s">
        <v>285</v>
      </c>
      <c r="W908" s="429" t="s">
        <v>214</v>
      </c>
      <c r="X908" s="498"/>
    </row>
    <row r="909" spans="1:24" ht="21" customHeight="1">
      <c r="A909" s="488" t="s">
        <v>277</v>
      </c>
      <c r="B909" s="489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95"/>
      <c r="P909" s="195"/>
      <c r="Q909" s="115"/>
      <c r="R909" s="115"/>
      <c r="S909" s="115"/>
      <c r="T909" s="115"/>
      <c r="U909" s="115"/>
      <c r="V909" s="115"/>
      <c r="W909" s="115"/>
      <c r="X909" s="116">
        <f>SUM(C909:W909)</f>
        <v>0</v>
      </c>
    </row>
    <row r="910" spans="1:24" ht="21" customHeight="1">
      <c r="A910" s="108">
        <v>429000</v>
      </c>
      <c r="B910" s="109" t="s">
        <v>10</v>
      </c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192"/>
      <c r="P910" s="192"/>
      <c r="Q910" s="76"/>
      <c r="R910" s="76"/>
      <c r="S910" s="76"/>
      <c r="T910" s="76"/>
      <c r="U910" s="76"/>
      <c r="V910" s="76"/>
      <c r="W910" s="76"/>
      <c r="X910" s="110">
        <f>SUM(C910:W910)</f>
        <v>0</v>
      </c>
    </row>
    <row r="911" spans="1:24" ht="21" customHeight="1">
      <c r="A911" s="111">
        <v>421000</v>
      </c>
      <c r="B911" s="112" t="s">
        <v>281</v>
      </c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193"/>
      <c r="P911" s="193"/>
      <c r="Q911" s="87"/>
      <c r="R911" s="87"/>
      <c r="S911" s="87"/>
      <c r="T911" s="87"/>
      <c r="U911" s="87"/>
      <c r="V911" s="87">
        <v>15740</v>
      </c>
      <c r="W911" s="87"/>
      <c r="X911" s="113">
        <f>SUM(C911:W911)</f>
        <v>15740</v>
      </c>
    </row>
    <row r="912" spans="1:24" ht="21" customHeight="1">
      <c r="A912" s="490" t="s">
        <v>230</v>
      </c>
      <c r="B912" s="491"/>
      <c r="C912" s="110">
        <f>SUM(C910:C911)</f>
        <v>0</v>
      </c>
      <c r="D912" s="110">
        <f aca="true" t="shared" si="231" ref="D912:V912">SUM(D910:D911)</f>
        <v>0</v>
      </c>
      <c r="E912" s="110">
        <f t="shared" si="231"/>
        <v>0</v>
      </c>
      <c r="F912" s="110">
        <f t="shared" si="231"/>
        <v>0</v>
      </c>
      <c r="G912" s="110">
        <f t="shared" si="231"/>
        <v>0</v>
      </c>
      <c r="H912" s="110">
        <f t="shared" si="231"/>
        <v>0</v>
      </c>
      <c r="I912" s="110">
        <f t="shared" si="231"/>
        <v>0</v>
      </c>
      <c r="J912" s="110">
        <f t="shared" si="231"/>
        <v>0</v>
      </c>
      <c r="K912" s="110">
        <f t="shared" si="231"/>
        <v>0</v>
      </c>
      <c r="L912" s="110">
        <f t="shared" si="231"/>
        <v>0</v>
      </c>
      <c r="M912" s="110">
        <f t="shared" si="231"/>
        <v>0</v>
      </c>
      <c r="N912" s="110">
        <f t="shared" si="231"/>
        <v>0</v>
      </c>
      <c r="O912" s="110">
        <f t="shared" si="231"/>
        <v>0</v>
      </c>
      <c r="P912" s="110">
        <f t="shared" si="231"/>
        <v>0</v>
      </c>
      <c r="Q912" s="110">
        <f t="shared" si="231"/>
        <v>0</v>
      </c>
      <c r="R912" s="110">
        <f t="shared" si="231"/>
        <v>0</v>
      </c>
      <c r="S912" s="110">
        <f t="shared" si="231"/>
        <v>0</v>
      </c>
      <c r="T912" s="110">
        <f t="shared" si="231"/>
        <v>0</v>
      </c>
      <c r="U912" s="110">
        <f t="shared" si="231"/>
        <v>0</v>
      </c>
      <c r="V912" s="110">
        <f t="shared" si="231"/>
        <v>15740</v>
      </c>
      <c r="W912" s="110">
        <f>SUM(W910:W911)</f>
        <v>0</v>
      </c>
      <c r="X912" s="110">
        <f>SUM(C912:W912)</f>
        <v>15740</v>
      </c>
    </row>
    <row r="913" spans="1:24" ht="21" customHeight="1">
      <c r="A913" s="492" t="s">
        <v>231</v>
      </c>
      <c r="B913" s="493"/>
      <c r="C913" s="114">
        <f>+C912+C797</f>
        <v>0</v>
      </c>
      <c r="D913" s="114">
        <f aca="true" t="shared" si="232" ref="D913:X913">+D912+D797</f>
        <v>0</v>
      </c>
      <c r="E913" s="114">
        <f t="shared" si="232"/>
        <v>0</v>
      </c>
      <c r="F913" s="114">
        <f t="shared" si="232"/>
        <v>0</v>
      </c>
      <c r="G913" s="114">
        <f t="shared" si="232"/>
        <v>6850</v>
      </c>
      <c r="H913" s="114">
        <f t="shared" si="232"/>
        <v>0</v>
      </c>
      <c r="I913" s="114">
        <f t="shared" si="232"/>
        <v>0</v>
      </c>
      <c r="J913" s="114">
        <f t="shared" si="232"/>
        <v>0</v>
      </c>
      <c r="K913" s="114">
        <f t="shared" si="232"/>
        <v>0</v>
      </c>
      <c r="L913" s="114">
        <f t="shared" si="232"/>
        <v>0</v>
      </c>
      <c r="M913" s="114">
        <f t="shared" si="232"/>
        <v>300000</v>
      </c>
      <c r="N913" s="114">
        <f t="shared" si="232"/>
        <v>0</v>
      </c>
      <c r="O913" s="114">
        <f t="shared" si="232"/>
        <v>0</v>
      </c>
      <c r="P913" s="114">
        <f t="shared" si="232"/>
        <v>0</v>
      </c>
      <c r="Q913" s="114">
        <f t="shared" si="232"/>
        <v>0</v>
      </c>
      <c r="R913" s="114">
        <f t="shared" si="232"/>
        <v>0</v>
      </c>
      <c r="S913" s="114">
        <f t="shared" si="232"/>
        <v>0</v>
      </c>
      <c r="T913" s="114">
        <f t="shared" si="232"/>
        <v>0</v>
      </c>
      <c r="U913" s="114">
        <f t="shared" si="232"/>
        <v>0</v>
      </c>
      <c r="V913" s="114">
        <f t="shared" si="232"/>
        <v>64640</v>
      </c>
      <c r="W913" s="114">
        <f t="shared" si="232"/>
        <v>0</v>
      </c>
      <c r="X913" s="114">
        <f t="shared" si="232"/>
        <v>371490</v>
      </c>
    </row>
    <row r="914" spans="1:24" ht="21" customHeight="1">
      <c r="A914" s="488" t="s">
        <v>278</v>
      </c>
      <c r="B914" s="489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95"/>
      <c r="P914" s="195"/>
      <c r="Q914" s="115"/>
      <c r="R914" s="115"/>
      <c r="S914" s="115"/>
      <c r="T914" s="115"/>
      <c r="U914" s="115"/>
      <c r="V914" s="115"/>
      <c r="W914" s="115"/>
      <c r="X914" s="116">
        <f aca="true" t="shared" si="233" ref="X914:X919">SUM(C914:W914)</f>
        <v>0</v>
      </c>
    </row>
    <row r="915" spans="1:24" ht="21" customHeight="1">
      <c r="A915" s="108">
        <v>610100</v>
      </c>
      <c r="B915" s="117" t="s">
        <v>280</v>
      </c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192"/>
      <c r="P915" s="192"/>
      <c r="Q915" s="76"/>
      <c r="R915" s="76"/>
      <c r="S915" s="76"/>
      <c r="T915" s="76"/>
      <c r="U915" s="76"/>
      <c r="V915" s="76"/>
      <c r="W915" s="76"/>
      <c r="X915" s="110">
        <f t="shared" si="233"/>
        <v>0</v>
      </c>
    </row>
    <row r="916" spans="1:24" ht="21" customHeight="1">
      <c r="A916" s="108">
        <v>610200</v>
      </c>
      <c r="B916" s="109" t="s">
        <v>266</v>
      </c>
      <c r="C916" s="76">
        <f>611000+4000+8000+321000</f>
        <v>944000</v>
      </c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192"/>
      <c r="P916" s="192"/>
      <c r="Q916" s="76"/>
      <c r="R916" s="76"/>
      <c r="S916" s="76"/>
      <c r="T916" s="76"/>
      <c r="U916" s="76"/>
      <c r="V916" s="76"/>
      <c r="W916" s="76"/>
      <c r="X916" s="110">
        <f t="shared" si="233"/>
        <v>944000</v>
      </c>
    </row>
    <row r="917" spans="1:24" ht="21" customHeight="1">
      <c r="A917" s="111">
        <v>610300</v>
      </c>
      <c r="B917" s="112" t="s">
        <v>390</v>
      </c>
      <c r="C917" s="87" t="s">
        <v>52</v>
      </c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193"/>
      <c r="P917" s="193"/>
      <c r="Q917" s="87"/>
      <c r="R917" s="87"/>
      <c r="S917" s="87"/>
      <c r="T917" s="87"/>
      <c r="U917" s="87"/>
      <c r="V917" s="87"/>
      <c r="W917" s="87"/>
      <c r="X917" s="110">
        <f t="shared" si="233"/>
        <v>0</v>
      </c>
    </row>
    <row r="918" spans="1:24" ht="21" customHeight="1">
      <c r="A918" s="111">
        <v>610400</v>
      </c>
      <c r="B918" s="112" t="s">
        <v>279</v>
      </c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193"/>
      <c r="P918" s="193"/>
      <c r="Q918" s="87"/>
      <c r="R918" s="87"/>
      <c r="S918" s="87"/>
      <c r="T918" s="87"/>
      <c r="U918" s="87"/>
      <c r="V918" s="87"/>
      <c r="W918" s="87"/>
      <c r="X918" s="113">
        <f t="shared" si="233"/>
        <v>0</v>
      </c>
    </row>
    <row r="919" spans="1:24" ht="21" customHeight="1">
      <c r="A919" s="490" t="s">
        <v>230</v>
      </c>
      <c r="B919" s="491"/>
      <c r="C919" s="110">
        <f>SUM(C915:C918)</f>
        <v>944000</v>
      </c>
      <c r="D919" s="110">
        <f aca="true" t="shared" si="234" ref="D919:S919">SUM(D915:D918)</f>
        <v>0</v>
      </c>
      <c r="E919" s="110">
        <f t="shared" si="234"/>
        <v>0</v>
      </c>
      <c r="F919" s="110">
        <f t="shared" si="234"/>
        <v>0</v>
      </c>
      <c r="G919" s="110">
        <f t="shared" si="234"/>
        <v>0</v>
      </c>
      <c r="H919" s="110">
        <f t="shared" si="234"/>
        <v>0</v>
      </c>
      <c r="I919" s="110">
        <f t="shared" si="234"/>
        <v>0</v>
      </c>
      <c r="J919" s="110">
        <f t="shared" si="234"/>
        <v>0</v>
      </c>
      <c r="K919" s="110">
        <f t="shared" si="234"/>
        <v>0</v>
      </c>
      <c r="L919" s="110">
        <f t="shared" si="234"/>
        <v>0</v>
      </c>
      <c r="M919" s="110">
        <f t="shared" si="234"/>
        <v>0</v>
      </c>
      <c r="N919" s="110">
        <f t="shared" si="234"/>
        <v>0</v>
      </c>
      <c r="O919" s="110">
        <f t="shared" si="234"/>
        <v>0</v>
      </c>
      <c r="P919" s="110">
        <f t="shared" si="234"/>
        <v>0</v>
      </c>
      <c r="Q919" s="110">
        <f t="shared" si="234"/>
        <v>0</v>
      </c>
      <c r="R919" s="110">
        <f t="shared" si="234"/>
        <v>0</v>
      </c>
      <c r="S919" s="110">
        <f t="shared" si="234"/>
        <v>0</v>
      </c>
      <c r="T919" s="110">
        <f>SUM(T915:T918)</f>
        <v>0</v>
      </c>
      <c r="U919" s="110">
        <f>SUM(U915:U918)</f>
        <v>0</v>
      </c>
      <c r="V919" s="110">
        <f>SUM(V915:V918)</f>
        <v>0</v>
      </c>
      <c r="W919" s="110">
        <f>SUM(W915:W918)</f>
        <v>0</v>
      </c>
      <c r="X919" s="110">
        <f t="shared" si="233"/>
        <v>944000</v>
      </c>
    </row>
    <row r="920" spans="1:24" ht="21" customHeight="1">
      <c r="A920" s="492" t="s">
        <v>231</v>
      </c>
      <c r="B920" s="493"/>
      <c r="C920" s="114">
        <f>+C919+C804</f>
        <v>964000</v>
      </c>
      <c r="D920" s="114">
        <f aca="true" t="shared" si="235" ref="D920:X920">+D919+D804</f>
        <v>0</v>
      </c>
      <c r="E920" s="114">
        <f t="shared" si="235"/>
        <v>0</v>
      </c>
      <c r="F920" s="114">
        <f t="shared" si="235"/>
        <v>0</v>
      </c>
      <c r="G920" s="114">
        <f t="shared" si="235"/>
        <v>0</v>
      </c>
      <c r="H920" s="114">
        <f t="shared" si="235"/>
        <v>1888000</v>
      </c>
      <c r="I920" s="114">
        <f t="shared" si="235"/>
        <v>0</v>
      </c>
      <c r="J920" s="114">
        <f t="shared" si="235"/>
        <v>240000</v>
      </c>
      <c r="K920" s="114">
        <f t="shared" si="235"/>
        <v>0</v>
      </c>
      <c r="L920" s="114">
        <f t="shared" si="235"/>
        <v>0</v>
      </c>
      <c r="M920" s="114">
        <f t="shared" si="235"/>
        <v>0</v>
      </c>
      <c r="N920" s="114">
        <f t="shared" si="235"/>
        <v>0</v>
      </c>
      <c r="O920" s="114">
        <f t="shared" si="235"/>
        <v>0</v>
      </c>
      <c r="P920" s="114">
        <f t="shared" si="235"/>
        <v>10000</v>
      </c>
      <c r="Q920" s="114">
        <f t="shared" si="235"/>
        <v>0</v>
      </c>
      <c r="R920" s="114">
        <f t="shared" si="235"/>
        <v>79000</v>
      </c>
      <c r="S920" s="114">
        <f t="shared" si="235"/>
        <v>0</v>
      </c>
      <c r="T920" s="114">
        <f t="shared" si="235"/>
        <v>0</v>
      </c>
      <c r="U920" s="114">
        <f t="shared" si="235"/>
        <v>0</v>
      </c>
      <c r="V920" s="114">
        <f t="shared" si="235"/>
        <v>0</v>
      </c>
      <c r="W920" s="114">
        <f t="shared" si="235"/>
        <v>0</v>
      </c>
      <c r="X920" s="114">
        <f t="shared" si="235"/>
        <v>3181000</v>
      </c>
    </row>
    <row r="921" spans="1:24" ht="21" customHeight="1">
      <c r="A921" s="488" t="s">
        <v>282</v>
      </c>
      <c r="B921" s="489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95"/>
      <c r="P921" s="195"/>
      <c r="Q921" s="115"/>
      <c r="R921" s="115"/>
      <c r="S921" s="115"/>
      <c r="T921" s="115"/>
      <c r="U921" s="115"/>
      <c r="V921" s="115"/>
      <c r="W921" s="115"/>
      <c r="X921" s="116">
        <f>SUM(C921:W921)</f>
        <v>0</v>
      </c>
    </row>
    <row r="922" spans="1:24" ht="21" customHeight="1">
      <c r="A922" s="108">
        <v>551000</v>
      </c>
      <c r="B922" s="109" t="s">
        <v>12</v>
      </c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192"/>
      <c r="P922" s="192"/>
      <c r="Q922" s="76"/>
      <c r="R922" s="76"/>
      <c r="S922" s="76"/>
      <c r="T922" s="76"/>
      <c r="U922" s="76"/>
      <c r="V922" s="76"/>
      <c r="W922" s="76"/>
      <c r="X922" s="110">
        <f>SUM(C922:W922)</f>
        <v>0</v>
      </c>
    </row>
    <row r="923" spans="1:24" ht="21" customHeight="1">
      <c r="A923" s="111">
        <v>510100</v>
      </c>
      <c r="B923" s="112" t="s">
        <v>283</v>
      </c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193"/>
      <c r="P923" s="193"/>
      <c r="Q923" s="87"/>
      <c r="R923" s="87"/>
      <c r="S923" s="87"/>
      <c r="T923" s="87"/>
      <c r="U923" s="87"/>
      <c r="V923" s="87"/>
      <c r="W923" s="87"/>
      <c r="X923" s="113">
        <f>SUM(C923:W923)</f>
        <v>0</v>
      </c>
    </row>
    <row r="924" spans="1:24" ht="21" customHeight="1">
      <c r="A924" s="490" t="s">
        <v>230</v>
      </c>
      <c r="B924" s="491"/>
      <c r="C924" s="110">
        <f>SUM(C922:C923)</f>
        <v>0</v>
      </c>
      <c r="D924" s="110">
        <f aca="true" t="shared" si="236" ref="D924:X924">SUM(D922:D923)</f>
        <v>0</v>
      </c>
      <c r="E924" s="110">
        <f t="shared" si="236"/>
        <v>0</v>
      </c>
      <c r="F924" s="110">
        <f t="shared" si="236"/>
        <v>0</v>
      </c>
      <c r="G924" s="110">
        <f t="shared" si="236"/>
        <v>0</v>
      </c>
      <c r="H924" s="110">
        <f t="shared" si="236"/>
        <v>0</v>
      </c>
      <c r="I924" s="110">
        <f t="shared" si="236"/>
        <v>0</v>
      </c>
      <c r="J924" s="110">
        <f t="shared" si="236"/>
        <v>0</v>
      </c>
      <c r="K924" s="110">
        <f t="shared" si="236"/>
        <v>0</v>
      </c>
      <c r="L924" s="110">
        <f t="shared" si="236"/>
        <v>0</v>
      </c>
      <c r="M924" s="110">
        <f t="shared" si="236"/>
        <v>0</v>
      </c>
      <c r="N924" s="110">
        <f t="shared" si="236"/>
        <v>0</v>
      </c>
      <c r="O924" s="110">
        <f t="shared" si="236"/>
        <v>0</v>
      </c>
      <c r="P924" s="110">
        <f t="shared" si="236"/>
        <v>0</v>
      </c>
      <c r="Q924" s="110">
        <f t="shared" si="236"/>
        <v>0</v>
      </c>
      <c r="R924" s="110">
        <f t="shared" si="236"/>
        <v>0</v>
      </c>
      <c r="S924" s="110">
        <f t="shared" si="236"/>
        <v>0</v>
      </c>
      <c r="T924" s="110">
        <f t="shared" si="236"/>
        <v>0</v>
      </c>
      <c r="U924" s="110">
        <f t="shared" si="236"/>
        <v>0</v>
      </c>
      <c r="V924" s="110">
        <f t="shared" si="236"/>
        <v>0</v>
      </c>
      <c r="W924" s="110">
        <f t="shared" si="236"/>
        <v>0</v>
      </c>
      <c r="X924" s="110">
        <f t="shared" si="236"/>
        <v>0</v>
      </c>
    </row>
    <row r="925" spans="1:24" ht="21" customHeight="1">
      <c r="A925" s="492" t="s">
        <v>231</v>
      </c>
      <c r="B925" s="493"/>
      <c r="C925" s="114">
        <f>+C924+C809</f>
        <v>0</v>
      </c>
      <c r="D925" s="114">
        <f aca="true" t="shared" si="237" ref="D925:X925">+D924+D809</f>
        <v>0</v>
      </c>
      <c r="E925" s="114">
        <f t="shared" si="237"/>
        <v>0</v>
      </c>
      <c r="F925" s="114">
        <f t="shared" si="237"/>
        <v>0</v>
      </c>
      <c r="G925" s="114">
        <f t="shared" si="237"/>
        <v>0</v>
      </c>
      <c r="H925" s="114">
        <f t="shared" si="237"/>
        <v>0</v>
      </c>
      <c r="I925" s="114">
        <f t="shared" si="237"/>
        <v>0</v>
      </c>
      <c r="J925" s="114">
        <f t="shared" si="237"/>
        <v>0</v>
      </c>
      <c r="K925" s="114">
        <f t="shared" si="237"/>
        <v>0</v>
      </c>
      <c r="L925" s="114">
        <f t="shared" si="237"/>
        <v>0</v>
      </c>
      <c r="M925" s="114">
        <f t="shared" si="237"/>
        <v>0</v>
      </c>
      <c r="N925" s="114">
        <f t="shared" si="237"/>
        <v>0</v>
      </c>
      <c r="O925" s="114">
        <f t="shared" si="237"/>
        <v>0</v>
      </c>
      <c r="P925" s="114">
        <f t="shared" si="237"/>
        <v>0</v>
      </c>
      <c r="Q925" s="114">
        <f t="shared" si="237"/>
        <v>0</v>
      </c>
      <c r="R925" s="114">
        <f t="shared" si="237"/>
        <v>0</v>
      </c>
      <c r="S925" s="114">
        <f t="shared" si="237"/>
        <v>0</v>
      </c>
      <c r="T925" s="114">
        <f t="shared" si="237"/>
        <v>0</v>
      </c>
      <c r="U925" s="114">
        <f t="shared" si="237"/>
        <v>0</v>
      </c>
      <c r="V925" s="114">
        <f t="shared" si="237"/>
        <v>0</v>
      </c>
      <c r="W925" s="114">
        <f t="shared" si="237"/>
        <v>0</v>
      </c>
      <c r="X925" s="114">
        <f t="shared" si="237"/>
        <v>0</v>
      </c>
    </row>
    <row r="926" spans="1:25" ht="21" customHeight="1">
      <c r="A926" s="494" t="s">
        <v>230</v>
      </c>
      <c r="B926" s="495"/>
      <c r="C926" s="49">
        <f aca="true" t="shared" si="238" ref="C926:W926">SUM(C826,C834,C846,C855,C862,C881,C888,C905,C912,C919,C924)</f>
        <v>1570658.16</v>
      </c>
      <c r="D926" s="49">
        <f t="shared" si="238"/>
        <v>207642</v>
      </c>
      <c r="E926" s="49">
        <f t="shared" si="238"/>
        <v>32410</v>
      </c>
      <c r="F926" s="49">
        <f t="shared" si="238"/>
        <v>9230</v>
      </c>
      <c r="G926" s="49">
        <f t="shared" si="238"/>
        <v>66180</v>
      </c>
      <c r="H926" s="49">
        <f t="shared" si="238"/>
        <v>0</v>
      </c>
      <c r="I926" s="49">
        <f t="shared" si="238"/>
        <v>26760</v>
      </c>
      <c r="J926" s="49">
        <f t="shared" si="238"/>
        <v>14000</v>
      </c>
      <c r="K926" s="49">
        <f t="shared" si="238"/>
        <v>0</v>
      </c>
      <c r="L926" s="49">
        <f t="shared" si="238"/>
        <v>86910</v>
      </c>
      <c r="M926" s="49">
        <f t="shared" si="238"/>
        <v>0</v>
      </c>
      <c r="N926" s="49">
        <f t="shared" si="238"/>
        <v>38157.5</v>
      </c>
      <c r="O926" s="49">
        <f t="shared" si="238"/>
        <v>35840</v>
      </c>
      <c r="P926" s="49">
        <f t="shared" si="238"/>
        <v>15900</v>
      </c>
      <c r="Q926" s="49">
        <f t="shared" si="238"/>
        <v>0</v>
      </c>
      <c r="R926" s="49">
        <f t="shared" si="238"/>
        <v>51800</v>
      </c>
      <c r="S926" s="49">
        <f t="shared" si="238"/>
        <v>0</v>
      </c>
      <c r="T926" s="49">
        <f t="shared" si="238"/>
        <v>0</v>
      </c>
      <c r="U926" s="49">
        <f t="shared" si="238"/>
        <v>0</v>
      </c>
      <c r="V926" s="49">
        <f t="shared" si="238"/>
        <v>149261.95</v>
      </c>
      <c r="W926" s="49">
        <f t="shared" si="238"/>
        <v>496869.5</v>
      </c>
      <c r="X926" s="49">
        <f>SUM(C926:W926)</f>
        <v>2801619.1100000003</v>
      </c>
      <c r="Y926" s="106">
        <f>+X811</f>
        <v>12620683.32</v>
      </c>
    </row>
    <row r="927" spans="1:24" ht="21" customHeight="1">
      <c r="A927" s="494" t="s">
        <v>231</v>
      </c>
      <c r="B927" s="495"/>
      <c r="C927" s="49">
        <f>SUM(C827,C835,C847,C856,C863,C882,C889,C906,C913,C920,C925)</f>
        <v>6312160.21</v>
      </c>
      <c r="D927" s="49">
        <f aca="true" t="shared" si="239" ref="D927:W927">SUM(D827,D835,D847,D856,D863,D882,D889,D906,D913,D920,D925)</f>
        <v>1233787.03</v>
      </c>
      <c r="E927" s="49">
        <f t="shared" si="239"/>
        <v>208553</v>
      </c>
      <c r="F927" s="49">
        <f t="shared" si="239"/>
        <v>69097.4</v>
      </c>
      <c r="G927" s="49">
        <f t="shared" si="239"/>
        <v>468292</v>
      </c>
      <c r="H927" s="49">
        <f t="shared" si="239"/>
        <v>2378000</v>
      </c>
      <c r="I927" s="49">
        <f t="shared" si="239"/>
        <v>214080</v>
      </c>
      <c r="J927" s="49">
        <f t="shared" si="239"/>
        <v>384130</v>
      </c>
      <c r="K927" s="49">
        <f t="shared" si="239"/>
        <v>0</v>
      </c>
      <c r="L927" s="49">
        <f t="shared" si="239"/>
        <v>765981</v>
      </c>
      <c r="M927" s="49">
        <f t="shared" si="239"/>
        <v>302900</v>
      </c>
      <c r="N927" s="49">
        <f t="shared" si="239"/>
        <v>583018.75</v>
      </c>
      <c r="O927" s="49">
        <f t="shared" si="239"/>
        <v>326999</v>
      </c>
      <c r="P927" s="49">
        <f t="shared" si="239"/>
        <v>132760</v>
      </c>
      <c r="Q927" s="49">
        <f t="shared" si="239"/>
        <v>51710</v>
      </c>
      <c r="R927" s="49">
        <f t="shared" si="239"/>
        <v>355905</v>
      </c>
      <c r="S927" s="49">
        <f t="shared" si="239"/>
        <v>77215</v>
      </c>
      <c r="T927" s="49">
        <f t="shared" si="239"/>
        <v>0</v>
      </c>
      <c r="U927" s="49">
        <f t="shared" si="239"/>
        <v>24200</v>
      </c>
      <c r="V927" s="49">
        <f t="shared" si="239"/>
        <v>691420.54</v>
      </c>
      <c r="W927" s="49">
        <f t="shared" si="239"/>
        <v>842093.5</v>
      </c>
      <c r="X927" s="49">
        <f>SUM(C927:W927)</f>
        <v>15422302.43</v>
      </c>
    </row>
  </sheetData>
  <sheetProtection/>
  <mergeCells count="680">
    <mergeCell ref="A805:B805"/>
    <mergeCell ref="A808:B808"/>
    <mergeCell ref="A809:B809"/>
    <mergeCell ref="A810:B810"/>
    <mergeCell ref="A811:B811"/>
    <mergeCell ref="T791:U791"/>
    <mergeCell ref="X791:X792"/>
    <mergeCell ref="A792:B792"/>
    <mergeCell ref="A793:B793"/>
    <mergeCell ref="A796:B796"/>
    <mergeCell ref="A797:B797"/>
    <mergeCell ref="A798:B798"/>
    <mergeCell ref="A803:B803"/>
    <mergeCell ref="A804:B804"/>
    <mergeCell ref="A790:B790"/>
    <mergeCell ref="A791:B791"/>
    <mergeCell ref="C791:D791"/>
    <mergeCell ref="E791:F791"/>
    <mergeCell ref="G791:H791"/>
    <mergeCell ref="I791:J791"/>
    <mergeCell ref="L791:N791"/>
    <mergeCell ref="O791:P791"/>
    <mergeCell ref="Q791:S791"/>
    <mergeCell ref="X757:X758"/>
    <mergeCell ref="A758:B758"/>
    <mergeCell ref="A765:B765"/>
    <mergeCell ref="A766:B766"/>
    <mergeCell ref="A767:B767"/>
    <mergeCell ref="A772:B772"/>
    <mergeCell ref="A773:B773"/>
    <mergeCell ref="A774:B774"/>
    <mergeCell ref="A789:B789"/>
    <mergeCell ref="A757:B757"/>
    <mergeCell ref="C757:D757"/>
    <mergeCell ref="E757:F757"/>
    <mergeCell ref="G757:H757"/>
    <mergeCell ref="I757:J757"/>
    <mergeCell ref="L757:N757"/>
    <mergeCell ref="O757:P757"/>
    <mergeCell ref="Q757:S757"/>
    <mergeCell ref="T757:U757"/>
    <mergeCell ref="A730:B730"/>
    <mergeCell ref="A731:B731"/>
    <mergeCell ref="A732:B732"/>
    <mergeCell ref="A739:B739"/>
    <mergeCell ref="A740:B740"/>
    <mergeCell ref="A741:B741"/>
    <mergeCell ref="A746:B746"/>
    <mergeCell ref="A747:B747"/>
    <mergeCell ref="A748:B748"/>
    <mergeCell ref="E726:F726"/>
    <mergeCell ref="G726:H726"/>
    <mergeCell ref="I726:J726"/>
    <mergeCell ref="L726:N726"/>
    <mergeCell ref="O726:P726"/>
    <mergeCell ref="Q726:S726"/>
    <mergeCell ref="T726:U726"/>
    <mergeCell ref="X726:X727"/>
    <mergeCell ref="A727:B727"/>
    <mergeCell ref="A701:B701"/>
    <mergeCell ref="A710:B710"/>
    <mergeCell ref="A711:B711"/>
    <mergeCell ref="A712:B712"/>
    <mergeCell ref="A718:B718"/>
    <mergeCell ref="A719:B719"/>
    <mergeCell ref="A720:B720"/>
    <mergeCell ref="A726:B726"/>
    <mergeCell ref="C726:D726"/>
    <mergeCell ref="A696:N696"/>
    <mergeCell ref="O696:X696"/>
    <mergeCell ref="A697:N697"/>
    <mergeCell ref="O697:X697"/>
    <mergeCell ref="A698:N698"/>
    <mergeCell ref="O698:X698"/>
    <mergeCell ref="A699:B699"/>
    <mergeCell ref="C699:D699"/>
    <mergeCell ref="E699:F699"/>
    <mergeCell ref="G699:H699"/>
    <mergeCell ref="I699:J699"/>
    <mergeCell ref="L699:N699"/>
    <mergeCell ref="O699:P699"/>
    <mergeCell ref="Q699:S699"/>
    <mergeCell ref="T699:U699"/>
    <mergeCell ref="X699:X700"/>
    <mergeCell ref="A700:B700"/>
    <mergeCell ref="A573:B573"/>
    <mergeCell ref="A576:B576"/>
    <mergeCell ref="A577:B577"/>
    <mergeCell ref="A578:B578"/>
    <mergeCell ref="A579:B579"/>
    <mergeCell ref="T559:U559"/>
    <mergeCell ref="X559:X560"/>
    <mergeCell ref="A560:B560"/>
    <mergeCell ref="A561:B561"/>
    <mergeCell ref="A564:B564"/>
    <mergeCell ref="A565:B565"/>
    <mergeCell ref="A566:B566"/>
    <mergeCell ref="A571:B571"/>
    <mergeCell ref="A572:B572"/>
    <mergeCell ref="A558:B558"/>
    <mergeCell ref="A559:B559"/>
    <mergeCell ref="C559:D559"/>
    <mergeCell ref="E559:F559"/>
    <mergeCell ref="G559:H559"/>
    <mergeCell ref="I559:J559"/>
    <mergeCell ref="L559:N559"/>
    <mergeCell ref="O559:P559"/>
    <mergeCell ref="Q559:S559"/>
    <mergeCell ref="X525:X526"/>
    <mergeCell ref="A526:B526"/>
    <mergeCell ref="A533:B533"/>
    <mergeCell ref="A534:B534"/>
    <mergeCell ref="A535:B535"/>
    <mergeCell ref="A540:B540"/>
    <mergeCell ref="A541:B541"/>
    <mergeCell ref="A542:B542"/>
    <mergeCell ref="A557:B557"/>
    <mergeCell ref="A525:B525"/>
    <mergeCell ref="C525:D525"/>
    <mergeCell ref="E525:F525"/>
    <mergeCell ref="G525:H525"/>
    <mergeCell ref="I525:J525"/>
    <mergeCell ref="L525:N525"/>
    <mergeCell ref="O525:P525"/>
    <mergeCell ref="Q525:S525"/>
    <mergeCell ref="T525:U525"/>
    <mergeCell ref="A498:B498"/>
    <mergeCell ref="A499:B499"/>
    <mergeCell ref="A500:B500"/>
    <mergeCell ref="A507:B507"/>
    <mergeCell ref="A508:B508"/>
    <mergeCell ref="A509:B509"/>
    <mergeCell ref="A514:B514"/>
    <mergeCell ref="A515:B515"/>
    <mergeCell ref="A516:B516"/>
    <mergeCell ref="E494:F494"/>
    <mergeCell ref="G494:H494"/>
    <mergeCell ref="I494:J494"/>
    <mergeCell ref="L494:N494"/>
    <mergeCell ref="O494:P494"/>
    <mergeCell ref="Q494:S494"/>
    <mergeCell ref="T494:U494"/>
    <mergeCell ref="X494:X495"/>
    <mergeCell ref="A495:B495"/>
    <mergeCell ref="A469:B469"/>
    <mergeCell ref="A478:B478"/>
    <mergeCell ref="A479:B479"/>
    <mergeCell ref="A480:B480"/>
    <mergeCell ref="A486:B486"/>
    <mergeCell ref="A487:B487"/>
    <mergeCell ref="A488:B488"/>
    <mergeCell ref="A494:B494"/>
    <mergeCell ref="C494:D494"/>
    <mergeCell ref="A464:N464"/>
    <mergeCell ref="O464:X464"/>
    <mergeCell ref="A465:N465"/>
    <mergeCell ref="O465:X465"/>
    <mergeCell ref="A466:N466"/>
    <mergeCell ref="O466:X466"/>
    <mergeCell ref="A467:B467"/>
    <mergeCell ref="C467:D467"/>
    <mergeCell ref="E467:F467"/>
    <mergeCell ref="G467:H467"/>
    <mergeCell ref="I467:J467"/>
    <mergeCell ref="L467:N467"/>
    <mergeCell ref="O467:P467"/>
    <mergeCell ref="Q467:S467"/>
    <mergeCell ref="T467:U467"/>
    <mergeCell ref="X467:X468"/>
    <mergeCell ref="A468:B468"/>
    <mergeCell ref="A457:B457"/>
    <mergeCell ref="A460:B460"/>
    <mergeCell ref="A461:B461"/>
    <mergeCell ref="A462:B462"/>
    <mergeCell ref="A463:B463"/>
    <mergeCell ref="T443:U443"/>
    <mergeCell ref="X443:X444"/>
    <mergeCell ref="A444:B444"/>
    <mergeCell ref="A445:B445"/>
    <mergeCell ref="A448:B448"/>
    <mergeCell ref="A449:B449"/>
    <mergeCell ref="A450:B450"/>
    <mergeCell ref="A455:B455"/>
    <mergeCell ref="A456:B456"/>
    <mergeCell ref="A442:B442"/>
    <mergeCell ref="A443:B443"/>
    <mergeCell ref="C443:D443"/>
    <mergeCell ref="E443:F443"/>
    <mergeCell ref="G443:H443"/>
    <mergeCell ref="I443:J443"/>
    <mergeCell ref="L443:N443"/>
    <mergeCell ref="O443:P443"/>
    <mergeCell ref="Q443:S443"/>
    <mergeCell ref="X409:X410"/>
    <mergeCell ref="A410:B410"/>
    <mergeCell ref="A417:B417"/>
    <mergeCell ref="A418:B418"/>
    <mergeCell ref="A419:B419"/>
    <mergeCell ref="A424:B424"/>
    <mergeCell ref="A425:B425"/>
    <mergeCell ref="A426:B426"/>
    <mergeCell ref="A441:B441"/>
    <mergeCell ref="A409:B409"/>
    <mergeCell ref="C409:D409"/>
    <mergeCell ref="E409:F409"/>
    <mergeCell ref="G409:H409"/>
    <mergeCell ref="I409:J409"/>
    <mergeCell ref="L409:N409"/>
    <mergeCell ref="O409:P409"/>
    <mergeCell ref="Q409:S409"/>
    <mergeCell ref="T409:U409"/>
    <mergeCell ref="A382:B382"/>
    <mergeCell ref="A383:B383"/>
    <mergeCell ref="A384:B384"/>
    <mergeCell ref="A391:B391"/>
    <mergeCell ref="A392:B392"/>
    <mergeCell ref="A393:B393"/>
    <mergeCell ref="A398:B398"/>
    <mergeCell ref="A399:B399"/>
    <mergeCell ref="A400:B400"/>
    <mergeCell ref="E378:F378"/>
    <mergeCell ref="G378:H378"/>
    <mergeCell ref="I378:J378"/>
    <mergeCell ref="L378:N378"/>
    <mergeCell ref="O378:P378"/>
    <mergeCell ref="Q378:S378"/>
    <mergeCell ref="T378:U378"/>
    <mergeCell ref="X378:X379"/>
    <mergeCell ref="A379:B379"/>
    <mergeCell ref="A353:B353"/>
    <mergeCell ref="A362:B362"/>
    <mergeCell ref="A363:B363"/>
    <mergeCell ref="A364:B364"/>
    <mergeCell ref="A370:B370"/>
    <mergeCell ref="A371:B371"/>
    <mergeCell ref="A372:B372"/>
    <mergeCell ref="A378:B378"/>
    <mergeCell ref="C378:D378"/>
    <mergeCell ref="A348:N348"/>
    <mergeCell ref="O348:X348"/>
    <mergeCell ref="A349:N349"/>
    <mergeCell ref="O349:X349"/>
    <mergeCell ref="A350:N350"/>
    <mergeCell ref="O350:X350"/>
    <mergeCell ref="A351:B351"/>
    <mergeCell ref="C351:D351"/>
    <mergeCell ref="E351:F351"/>
    <mergeCell ref="G351:H351"/>
    <mergeCell ref="I351:J351"/>
    <mergeCell ref="L351:N351"/>
    <mergeCell ref="O351:P351"/>
    <mergeCell ref="Q351:S351"/>
    <mergeCell ref="T351:U351"/>
    <mergeCell ref="X351:X352"/>
    <mergeCell ref="A352:B352"/>
    <mergeCell ref="A228:B228"/>
    <mergeCell ref="A229:B229"/>
    <mergeCell ref="A230:B230"/>
    <mergeCell ref="A231:B231"/>
    <mergeCell ref="A217:B217"/>
    <mergeCell ref="A218:B218"/>
    <mergeCell ref="A223:B223"/>
    <mergeCell ref="A224:B224"/>
    <mergeCell ref="A225:B225"/>
    <mergeCell ref="T211:U211"/>
    <mergeCell ref="X211:X212"/>
    <mergeCell ref="A212:B212"/>
    <mergeCell ref="A213:B213"/>
    <mergeCell ref="A216:B216"/>
    <mergeCell ref="G211:H211"/>
    <mergeCell ref="I211:J211"/>
    <mergeCell ref="L211:N211"/>
    <mergeCell ref="O211:P211"/>
    <mergeCell ref="Q211:S211"/>
    <mergeCell ref="A209:B209"/>
    <mergeCell ref="A210:B210"/>
    <mergeCell ref="A211:B211"/>
    <mergeCell ref="C211:D211"/>
    <mergeCell ref="E211:F211"/>
    <mergeCell ref="A186:B186"/>
    <mergeCell ref="A187:B187"/>
    <mergeCell ref="A192:B192"/>
    <mergeCell ref="A193:B193"/>
    <mergeCell ref="A194:B194"/>
    <mergeCell ref="Q177:S177"/>
    <mergeCell ref="T177:U177"/>
    <mergeCell ref="X177:X178"/>
    <mergeCell ref="A178:B178"/>
    <mergeCell ref="A185:B185"/>
    <mergeCell ref="E177:F177"/>
    <mergeCell ref="G177:H177"/>
    <mergeCell ref="I177:J177"/>
    <mergeCell ref="L177:N177"/>
    <mergeCell ref="O177:P177"/>
    <mergeCell ref="A166:B166"/>
    <mergeCell ref="A167:B167"/>
    <mergeCell ref="A168:B168"/>
    <mergeCell ref="A177:B177"/>
    <mergeCell ref="C177:D177"/>
    <mergeCell ref="A151:B151"/>
    <mergeCell ref="A152:B152"/>
    <mergeCell ref="A159:B159"/>
    <mergeCell ref="A160:B160"/>
    <mergeCell ref="A161:B161"/>
    <mergeCell ref="Q146:S146"/>
    <mergeCell ref="T146:U146"/>
    <mergeCell ref="X146:X147"/>
    <mergeCell ref="A147:B147"/>
    <mergeCell ref="A150:B150"/>
    <mergeCell ref="E146:F146"/>
    <mergeCell ref="G146:H146"/>
    <mergeCell ref="I146:J146"/>
    <mergeCell ref="L146:N146"/>
    <mergeCell ref="O146:P146"/>
    <mergeCell ref="A138:B138"/>
    <mergeCell ref="A139:B139"/>
    <mergeCell ref="A140:B140"/>
    <mergeCell ref="A146:B146"/>
    <mergeCell ref="C146:D146"/>
    <mergeCell ref="A120:B120"/>
    <mergeCell ref="A121:B121"/>
    <mergeCell ref="A130:B130"/>
    <mergeCell ref="A131:B131"/>
    <mergeCell ref="A132:B132"/>
    <mergeCell ref="L119:N119"/>
    <mergeCell ref="O119:P119"/>
    <mergeCell ref="Q119:S119"/>
    <mergeCell ref="T119:U119"/>
    <mergeCell ref="X119:X120"/>
    <mergeCell ref="A119:B119"/>
    <mergeCell ref="C119:D119"/>
    <mergeCell ref="E119:F119"/>
    <mergeCell ref="G119:H119"/>
    <mergeCell ref="I119:J119"/>
    <mergeCell ref="A1:N1"/>
    <mergeCell ref="P1:X1"/>
    <mergeCell ref="A2:N2"/>
    <mergeCell ref="P2:X2"/>
    <mergeCell ref="A3:N3"/>
    <mergeCell ref="P3:X3"/>
    <mergeCell ref="T4:U4"/>
    <mergeCell ref="X4:X5"/>
    <mergeCell ref="A5:B5"/>
    <mergeCell ref="E4:F4"/>
    <mergeCell ref="I4:J4"/>
    <mergeCell ref="X31:X32"/>
    <mergeCell ref="A4:B4"/>
    <mergeCell ref="C4:D4"/>
    <mergeCell ref="G4:H4"/>
    <mergeCell ref="L4:N4"/>
    <mergeCell ref="Q4:S4"/>
    <mergeCell ref="O4:P4"/>
    <mergeCell ref="A35:B35"/>
    <mergeCell ref="A36:B36"/>
    <mergeCell ref="E31:F31"/>
    <mergeCell ref="O31:P31"/>
    <mergeCell ref="C31:D31"/>
    <mergeCell ref="I31:J31"/>
    <mergeCell ref="A32:B32"/>
    <mergeCell ref="G31:H31"/>
    <mergeCell ref="L31:N31"/>
    <mergeCell ref="Q31:S31"/>
    <mergeCell ref="T31:U31"/>
    <mergeCell ref="A44:B44"/>
    <mergeCell ref="A45:B45"/>
    <mergeCell ref="A46:B46"/>
    <mergeCell ref="A51:B51"/>
    <mergeCell ref="A52:B52"/>
    <mergeCell ref="A53:B53"/>
    <mergeCell ref="A61:B61"/>
    <mergeCell ref="A37:B37"/>
    <mergeCell ref="A6:B6"/>
    <mergeCell ref="A15:B15"/>
    <mergeCell ref="A16:B16"/>
    <mergeCell ref="A17:B17"/>
    <mergeCell ref="A23:B23"/>
    <mergeCell ref="A24:B24"/>
    <mergeCell ref="A25:B25"/>
    <mergeCell ref="A31:B31"/>
    <mergeCell ref="A101:B101"/>
    <mergeCell ref="A102:B102"/>
    <mergeCell ref="A107:B107"/>
    <mergeCell ref="A69:B69"/>
    <mergeCell ref="A70:B70"/>
    <mergeCell ref="A71:B71"/>
    <mergeCell ref="A76:B76"/>
    <mergeCell ref="T95:U95"/>
    <mergeCell ref="X95:X96"/>
    <mergeCell ref="A96:B96"/>
    <mergeCell ref="A97:B97"/>
    <mergeCell ref="A100:B100"/>
    <mergeCell ref="C95:D95"/>
    <mergeCell ref="G95:H95"/>
    <mergeCell ref="L95:N95"/>
    <mergeCell ref="Q95:S95"/>
    <mergeCell ref="E95:F95"/>
    <mergeCell ref="I95:J95"/>
    <mergeCell ref="O95:P95"/>
    <mergeCell ref="A77:B77"/>
    <mergeCell ref="A78:B78"/>
    <mergeCell ref="A93:B93"/>
    <mergeCell ref="A94:B94"/>
    <mergeCell ref="A95:B95"/>
    <mergeCell ref="Q61:S61"/>
    <mergeCell ref="T61:U61"/>
    <mergeCell ref="X61:X62"/>
    <mergeCell ref="A62:B62"/>
    <mergeCell ref="C61:D61"/>
    <mergeCell ref="G61:H61"/>
    <mergeCell ref="E61:F61"/>
    <mergeCell ref="I61:J61"/>
    <mergeCell ref="O61:P61"/>
    <mergeCell ref="L61:N61"/>
    <mergeCell ref="O116:X116"/>
    <mergeCell ref="O117:X117"/>
    <mergeCell ref="O118:X118"/>
    <mergeCell ref="A109:B109"/>
    <mergeCell ref="A112:B112"/>
    <mergeCell ref="A113:B113"/>
    <mergeCell ref="A114:B114"/>
    <mergeCell ref="A115:B115"/>
    <mergeCell ref="A108:B108"/>
    <mergeCell ref="A116:N116"/>
    <mergeCell ref="A117:N117"/>
    <mergeCell ref="A118:N118"/>
    <mergeCell ref="A232:N232"/>
    <mergeCell ref="O232:X232"/>
    <mergeCell ref="A233:N233"/>
    <mergeCell ref="O233:X233"/>
    <mergeCell ref="A234:N234"/>
    <mergeCell ref="O234:X234"/>
    <mergeCell ref="A235:B235"/>
    <mergeCell ref="C235:D235"/>
    <mergeCell ref="E235:F235"/>
    <mergeCell ref="G235:H235"/>
    <mergeCell ref="I235:J235"/>
    <mergeCell ref="L235:N235"/>
    <mergeCell ref="O235:P235"/>
    <mergeCell ref="Q235:S235"/>
    <mergeCell ref="T235:U235"/>
    <mergeCell ref="X235:X236"/>
    <mergeCell ref="A236:B236"/>
    <mergeCell ref="A237:B237"/>
    <mergeCell ref="A246:B246"/>
    <mergeCell ref="A247:B247"/>
    <mergeCell ref="A248:B248"/>
    <mergeCell ref="A254:B254"/>
    <mergeCell ref="A255:B255"/>
    <mergeCell ref="A256:B256"/>
    <mergeCell ref="A262:B262"/>
    <mergeCell ref="C262:D262"/>
    <mergeCell ref="E262:F262"/>
    <mergeCell ref="G262:H262"/>
    <mergeCell ref="I262:J262"/>
    <mergeCell ref="L262:N262"/>
    <mergeCell ref="O262:P262"/>
    <mergeCell ref="Q262:S262"/>
    <mergeCell ref="T262:U262"/>
    <mergeCell ref="X262:X263"/>
    <mergeCell ref="A263:B263"/>
    <mergeCell ref="A266:B266"/>
    <mergeCell ref="A267:B267"/>
    <mergeCell ref="A268:B268"/>
    <mergeCell ref="A275:B275"/>
    <mergeCell ref="A276:B276"/>
    <mergeCell ref="A277:B277"/>
    <mergeCell ref="A282:B282"/>
    <mergeCell ref="A283:B283"/>
    <mergeCell ref="A284:B284"/>
    <mergeCell ref="X293:X294"/>
    <mergeCell ref="A294:B294"/>
    <mergeCell ref="A301:B301"/>
    <mergeCell ref="A302:B302"/>
    <mergeCell ref="A303:B303"/>
    <mergeCell ref="A308:B308"/>
    <mergeCell ref="A309:B309"/>
    <mergeCell ref="A310:B310"/>
    <mergeCell ref="A325:B325"/>
    <mergeCell ref="A293:B293"/>
    <mergeCell ref="C293:D293"/>
    <mergeCell ref="E293:F293"/>
    <mergeCell ref="G293:H293"/>
    <mergeCell ref="I293:J293"/>
    <mergeCell ref="L293:N293"/>
    <mergeCell ref="O293:P293"/>
    <mergeCell ref="Q293:S293"/>
    <mergeCell ref="T293:U293"/>
    <mergeCell ref="A326:B326"/>
    <mergeCell ref="A327:B327"/>
    <mergeCell ref="C327:D327"/>
    <mergeCell ref="E327:F327"/>
    <mergeCell ref="G327:H327"/>
    <mergeCell ref="I327:J327"/>
    <mergeCell ref="L327:N327"/>
    <mergeCell ref="O327:P327"/>
    <mergeCell ref="Q327:S327"/>
    <mergeCell ref="A341:B341"/>
    <mergeCell ref="A344:B344"/>
    <mergeCell ref="A345:B345"/>
    <mergeCell ref="A346:B346"/>
    <mergeCell ref="A347:B347"/>
    <mergeCell ref="T327:U327"/>
    <mergeCell ref="X327:X328"/>
    <mergeCell ref="A328:B328"/>
    <mergeCell ref="A329:B329"/>
    <mergeCell ref="A332:B332"/>
    <mergeCell ref="A333:B333"/>
    <mergeCell ref="A334:B334"/>
    <mergeCell ref="A339:B339"/>
    <mergeCell ref="A340:B340"/>
    <mergeCell ref="A580:N580"/>
    <mergeCell ref="O580:X580"/>
    <mergeCell ref="A581:N581"/>
    <mergeCell ref="O581:X581"/>
    <mergeCell ref="A582:N582"/>
    <mergeCell ref="O582:X582"/>
    <mergeCell ref="A583:B583"/>
    <mergeCell ref="C583:D583"/>
    <mergeCell ref="E583:F583"/>
    <mergeCell ref="G583:H583"/>
    <mergeCell ref="I583:J583"/>
    <mergeCell ref="L583:N583"/>
    <mergeCell ref="O583:P583"/>
    <mergeCell ref="Q583:S583"/>
    <mergeCell ref="T583:U583"/>
    <mergeCell ref="X583:X584"/>
    <mergeCell ref="A584:B584"/>
    <mergeCell ref="A585:B585"/>
    <mergeCell ref="A594:B594"/>
    <mergeCell ref="A595:B595"/>
    <mergeCell ref="A596:B596"/>
    <mergeCell ref="A602:B602"/>
    <mergeCell ref="A603:B603"/>
    <mergeCell ref="A604:B604"/>
    <mergeCell ref="A610:B610"/>
    <mergeCell ref="C610:D610"/>
    <mergeCell ref="E610:F610"/>
    <mergeCell ref="G610:H610"/>
    <mergeCell ref="I610:J610"/>
    <mergeCell ref="L610:N610"/>
    <mergeCell ref="O610:P610"/>
    <mergeCell ref="Q610:S610"/>
    <mergeCell ref="T610:U610"/>
    <mergeCell ref="X610:X611"/>
    <mergeCell ref="A611:B611"/>
    <mergeCell ref="A614:B614"/>
    <mergeCell ref="A615:B615"/>
    <mergeCell ref="A616:B616"/>
    <mergeCell ref="A623:B623"/>
    <mergeCell ref="A624:B624"/>
    <mergeCell ref="A625:B625"/>
    <mergeCell ref="A630:B630"/>
    <mergeCell ref="A631:B631"/>
    <mergeCell ref="A632:B632"/>
    <mergeCell ref="X641:X642"/>
    <mergeCell ref="A642:B642"/>
    <mergeCell ref="A649:B649"/>
    <mergeCell ref="A650:B650"/>
    <mergeCell ref="A651:B651"/>
    <mergeCell ref="A656:B656"/>
    <mergeCell ref="A657:B657"/>
    <mergeCell ref="A658:B658"/>
    <mergeCell ref="A673:B673"/>
    <mergeCell ref="A641:B641"/>
    <mergeCell ref="C641:D641"/>
    <mergeCell ref="E641:F641"/>
    <mergeCell ref="G641:H641"/>
    <mergeCell ref="I641:J641"/>
    <mergeCell ref="L641:N641"/>
    <mergeCell ref="O641:P641"/>
    <mergeCell ref="Q641:S641"/>
    <mergeCell ref="T641:U641"/>
    <mergeCell ref="A674:B674"/>
    <mergeCell ref="A675:B675"/>
    <mergeCell ref="C675:D675"/>
    <mergeCell ref="E675:F675"/>
    <mergeCell ref="G675:H675"/>
    <mergeCell ref="I675:J675"/>
    <mergeCell ref="L675:N675"/>
    <mergeCell ref="O675:P675"/>
    <mergeCell ref="Q675:S675"/>
    <mergeCell ref="A689:B689"/>
    <mergeCell ref="A692:B692"/>
    <mergeCell ref="A693:B693"/>
    <mergeCell ref="A694:B694"/>
    <mergeCell ref="A695:B695"/>
    <mergeCell ref="T675:U675"/>
    <mergeCell ref="X675:X676"/>
    <mergeCell ref="A676:B676"/>
    <mergeCell ref="A677:B677"/>
    <mergeCell ref="A680:B680"/>
    <mergeCell ref="A681:B681"/>
    <mergeCell ref="A682:B682"/>
    <mergeCell ref="A687:B687"/>
    <mergeCell ref="A688:B688"/>
    <mergeCell ref="A812:N812"/>
    <mergeCell ref="O812:X812"/>
    <mergeCell ref="A813:N813"/>
    <mergeCell ref="O813:X813"/>
    <mergeCell ref="A814:N814"/>
    <mergeCell ref="O814:X814"/>
    <mergeCell ref="A815:B815"/>
    <mergeCell ref="C815:D815"/>
    <mergeCell ref="E815:F815"/>
    <mergeCell ref="G815:H815"/>
    <mergeCell ref="I815:J815"/>
    <mergeCell ref="L815:N815"/>
    <mergeCell ref="O815:P815"/>
    <mergeCell ref="Q815:S815"/>
    <mergeCell ref="T815:U815"/>
    <mergeCell ref="X815:X816"/>
    <mergeCell ref="A816:B816"/>
    <mergeCell ref="A817:B817"/>
    <mergeCell ref="A826:B826"/>
    <mergeCell ref="A827:B827"/>
    <mergeCell ref="A828:B828"/>
    <mergeCell ref="A834:B834"/>
    <mergeCell ref="A835:B835"/>
    <mergeCell ref="A836:B836"/>
    <mergeCell ref="A842:B842"/>
    <mergeCell ref="C842:D842"/>
    <mergeCell ref="E842:F842"/>
    <mergeCell ref="G842:H842"/>
    <mergeCell ref="I842:J842"/>
    <mergeCell ref="L842:N842"/>
    <mergeCell ref="O842:P842"/>
    <mergeCell ref="Q842:S842"/>
    <mergeCell ref="T842:U842"/>
    <mergeCell ref="X842:X843"/>
    <mergeCell ref="A843:B843"/>
    <mergeCell ref="A846:B846"/>
    <mergeCell ref="A847:B847"/>
    <mergeCell ref="A848:B848"/>
    <mergeCell ref="A855:B855"/>
    <mergeCell ref="A856:B856"/>
    <mergeCell ref="A857:B857"/>
    <mergeCell ref="A862:B862"/>
    <mergeCell ref="A863:B863"/>
    <mergeCell ref="A864:B864"/>
    <mergeCell ref="X873:X874"/>
    <mergeCell ref="A874:B874"/>
    <mergeCell ref="A881:B881"/>
    <mergeCell ref="A882:B882"/>
    <mergeCell ref="A883:B883"/>
    <mergeCell ref="A888:B888"/>
    <mergeCell ref="A889:B889"/>
    <mergeCell ref="A890:B890"/>
    <mergeCell ref="A905:B905"/>
    <mergeCell ref="A873:B873"/>
    <mergeCell ref="C873:D873"/>
    <mergeCell ref="E873:F873"/>
    <mergeCell ref="G873:H873"/>
    <mergeCell ref="I873:J873"/>
    <mergeCell ref="L873:N873"/>
    <mergeCell ref="O873:P873"/>
    <mergeCell ref="Q873:S873"/>
    <mergeCell ref="T873:U873"/>
    <mergeCell ref="A906:B906"/>
    <mergeCell ref="A907:B907"/>
    <mergeCell ref="C907:D907"/>
    <mergeCell ref="E907:F907"/>
    <mergeCell ref="G907:H907"/>
    <mergeCell ref="I907:J907"/>
    <mergeCell ref="L907:N907"/>
    <mergeCell ref="O907:P907"/>
    <mergeCell ref="Q907:S907"/>
    <mergeCell ref="A921:B921"/>
    <mergeCell ref="A924:B924"/>
    <mergeCell ref="A925:B925"/>
    <mergeCell ref="A926:B926"/>
    <mergeCell ref="A927:B927"/>
    <mergeCell ref="T907:U907"/>
    <mergeCell ref="X907:X908"/>
    <mergeCell ref="A908:B908"/>
    <mergeCell ref="A909:B909"/>
    <mergeCell ref="A912:B912"/>
    <mergeCell ref="A913:B913"/>
    <mergeCell ref="A914:B914"/>
    <mergeCell ref="A919:B919"/>
    <mergeCell ref="A920:B920"/>
  </mergeCells>
  <printOptions/>
  <pageMargins left="0.3937007874015748" right="0.3937007874015748" top="0.3937007874015748" bottom="0.3937007874015748" header="0.6299212598425197" footer="0.4330708661417323"/>
  <pageSetup horizontalDpi="600" verticalDpi="600" orientation="landscape" pageOrder="overThenDown" paperSize="9" scale="75" r:id="rId1"/>
  <rowBreaks count="27" manualBreakCount="27">
    <brk id="30" max="23" man="1"/>
    <brk id="60" max="23" man="1"/>
    <brk id="94" max="23" man="1"/>
    <brk id="115" max="23" man="1"/>
    <brk id="145" max="23" man="1"/>
    <brk id="176" max="23" man="1"/>
    <brk id="210" max="23" man="1"/>
    <brk id="231" max="23" man="1"/>
    <brk id="261" max="23" man="1"/>
    <brk id="292" max="23" man="1"/>
    <brk id="347" max="23" man="1"/>
    <brk id="377" max="23" man="1"/>
    <brk id="408" max="23" man="1"/>
    <brk id="463" max="23" man="1"/>
    <brk id="493" max="23" man="1"/>
    <brk id="524" max="23" man="1"/>
    <brk id="579" max="23" man="1"/>
    <brk id="609" max="23" man="1"/>
    <brk id="640" max="23" man="1"/>
    <brk id="674" max="23" man="1"/>
    <brk id="695" max="23" man="1"/>
    <brk id="725" max="23" man="1"/>
    <brk id="756" max="23" man="1"/>
    <brk id="790" max="23" man="1"/>
    <brk id="811" max="23" man="1"/>
    <brk id="841" max="23" man="1"/>
    <brk id="872" max="23" man="1"/>
  </rowBreaks>
  <colBreaks count="1" manualBreakCount="1">
    <brk id="14" max="9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User</dc:creator>
  <cp:keywords/>
  <dc:description/>
  <cp:lastModifiedBy>NEXT Speed</cp:lastModifiedBy>
  <cp:lastPrinted>2015-06-08T07:57:22Z</cp:lastPrinted>
  <dcterms:created xsi:type="dcterms:W3CDTF">2009-10-28T06:19:19Z</dcterms:created>
  <dcterms:modified xsi:type="dcterms:W3CDTF">2015-07-09T02:30:02Z</dcterms:modified>
  <cp:category/>
  <cp:version/>
  <cp:contentType/>
  <cp:contentStatus/>
</cp:coreProperties>
</file>