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360" tabRatio="598" firstSheet="11" activeTab="14"/>
  </bookViews>
  <sheets>
    <sheet name="ใบผ่านรายการบัญชีมาตรฐาน" sheetId="1" r:id="rId1"/>
    <sheet name="ใบผ่านรายการทั่วไป" sheetId="2" r:id="rId2"/>
    <sheet name="ผลักกรุงไทยเข้าธกส." sheetId="3" r:id="rId3"/>
    <sheet name="ส่งใช้ประกันสังคม" sheetId="4" r:id="rId4"/>
    <sheet name="ส่งใช้เงินเดือน" sheetId="5" r:id="rId5"/>
    <sheet name="ส่งใช้ค่าจ้างผดด." sheetId="6" r:id="rId6"/>
    <sheet name="ส่งคืนเบี้ยผู้สูงอายุ-พิการ" sheetId="7" r:id="rId7"/>
    <sheet name="งบดุลบัญชี" sheetId="8" r:id="rId8"/>
    <sheet name="งบทดลอง" sheetId="9" r:id="rId9"/>
    <sheet name="หมายเหตุ1 ประกอบงบ" sheetId="10" r:id="rId10"/>
    <sheet name="หมายเหตุ 2, 3 ประกอบงบ" sheetId="11" r:id="rId11"/>
    <sheet name="กระแสเงินสด" sheetId="12" r:id="rId12"/>
    <sheet name="รับ-จ่ายเงินสด" sheetId="13" r:id="rId13"/>
    <sheet name="รับ-จ่ายเงินสด (2)" sheetId="14" r:id="rId14"/>
    <sheet name="กระดาษทำการกระทบยอด" sheetId="15" r:id="rId15"/>
    <sheet name="กระทบยอดเงินสะสม" sheetId="16" r:id="rId16"/>
  </sheets>
  <externalReferences>
    <externalReference r:id="rId19"/>
    <externalReference r:id="rId20"/>
  </externalReferences>
  <definedNames>
    <definedName name="_xlnm.Print_Area" localSheetId="14">'กระดาษทำการกระทบยอด'!$A$1:$U$662</definedName>
    <definedName name="_xlnm.Print_Area" localSheetId="15">'กระทบยอดเงินสะสม'!$A$1:$V$87</definedName>
    <definedName name="_xlnm.Print_Area" localSheetId="11">'กระแสเงินสด'!$A$1:$E$235</definedName>
    <definedName name="_xlnm.Print_Area" localSheetId="7">'งบดุลบัญชี'!$A$1:$CD$150</definedName>
    <definedName name="_xlnm.Print_Area" localSheetId="8">'งบทดลอง'!$A$1:$BW$48</definedName>
    <definedName name="_xlnm.Print_Area" localSheetId="1">'ใบผ่านรายการทั่วไป'!$A$1:$G$1134</definedName>
    <definedName name="_xlnm.Print_Area" localSheetId="0">'ใบผ่านรายการบัญชีมาตรฐาน'!$A$1:$G$106</definedName>
    <definedName name="_xlnm.Print_Area" localSheetId="2">'ผลักกรุงไทยเข้าธกส.'!$A$1:$G$1133</definedName>
    <definedName name="_xlnm.Print_Area" localSheetId="12">'รับ-จ่ายเงินสด'!$A$1:$I$568</definedName>
    <definedName name="_xlnm.Print_Area" localSheetId="13">'รับ-จ่ายเงินสด (2)'!$A$1:$I$472</definedName>
    <definedName name="_xlnm.Print_Area" localSheetId="6">'ส่งคืนเบี้ยผู้สูงอายุ-พิการ'!$A$1:$G$34</definedName>
    <definedName name="_xlnm.Print_Area" localSheetId="5">'ส่งใช้ค่าจ้างผดด.'!$A$1:$G$32</definedName>
    <definedName name="_xlnm.Print_Area" localSheetId="4">'ส่งใช้เงินเดือน'!$A$1:$G$32</definedName>
    <definedName name="_xlnm.Print_Area" localSheetId="3">'ส่งใช้ประกันสังคม'!$A$1:$G$32</definedName>
    <definedName name="_xlnm.Print_Area" localSheetId="10">'หมายเหตุ 2, 3 ประกอบงบ'!$A$1:$G$50</definedName>
    <definedName name="_xlnm.Print_Area" localSheetId="9">'หมายเหตุ1 ประกอบงบ'!$A$1:$AJ$84</definedName>
    <definedName name="_xlnm.Print_Titles" localSheetId="14">'กระดาษทำการกระทบยอด'!$A:$B,'กระดาษทำการกระทบยอด'!$551:$553</definedName>
    <definedName name="_xlnm.Print_Titles" localSheetId="7">'งบดุลบัญชี'!$A:$F,'งบดุลบัญชี'!$1:$2</definedName>
    <definedName name="_xlnm.Print_Titles" localSheetId="12">'รับ-จ่ายเงินสด'!$A:$E</definedName>
    <definedName name="_xlnm.Print_Titles" localSheetId="13">'รับ-จ่ายเงินสด (2)'!$A:$E</definedName>
  </definedNames>
  <calcPr fullCalcOnLoad="1"/>
</workbook>
</file>

<file path=xl/sharedStrings.xml><?xml version="1.0" encoding="utf-8"?>
<sst xmlns="http://schemas.openxmlformats.org/spreadsheetml/2006/main" count="6055" uniqueCount="743">
  <si>
    <t>รายการ</t>
  </si>
  <si>
    <t>เครดิต</t>
  </si>
  <si>
    <t>เงินสด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</si>
  <si>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</si>
  <si>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</si>
  <si>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</si>
  <si>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</si>
  <si>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</si>
  <si>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</si>
  <si>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</si>
  <si>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</si>
  <si>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</si>
  <si>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</si>
  <si>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</si>
  <si>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รายจ่ายค้างจ่าย</t>
  </si>
  <si>
    <t>เงินสะสม</t>
  </si>
  <si>
    <t>ประมาณการ</t>
  </si>
  <si>
    <t>รวม</t>
  </si>
  <si>
    <t>รายรับ</t>
  </si>
  <si>
    <t>ภาษีอากร</t>
  </si>
  <si>
    <t>รายได้เบ็ดเตล็ด</t>
  </si>
  <si>
    <t>รายได้จากทรัพย์สิน</t>
  </si>
  <si>
    <t>เงินอุดหนุนทั่วไป</t>
  </si>
  <si>
    <t>รายได้จากสาธารณูปโภคและการพาณิชย์</t>
  </si>
  <si>
    <t>จำนวนเงิน</t>
  </si>
  <si>
    <t>ค่าปรับผิดสัญญา</t>
  </si>
  <si>
    <t>ภาษีหัก ณ ที่จ่าย</t>
  </si>
  <si>
    <t>เงินประกันสัญญา</t>
  </si>
  <si>
    <t>จ่ายขาดเงินสะสม</t>
  </si>
  <si>
    <t>เทศบาลตำบลเขาพระ  อำเภอพิปูน  จังหวัดนครศรีธรรมราช</t>
  </si>
  <si>
    <t>รายจ่าย</t>
  </si>
  <si>
    <t>รวมรายจ่าย</t>
  </si>
  <si>
    <t>รวมรายรับ</t>
  </si>
  <si>
    <t>(นายวสันต์  ไทรแก้ว)</t>
  </si>
  <si>
    <t>ปลัดเทศบาล</t>
  </si>
  <si>
    <t>นายกเทศมนตรี</t>
  </si>
  <si>
    <t>หัวหน้ากองคลัง</t>
  </si>
  <si>
    <t>หนี้สินและเงินสะสม</t>
  </si>
  <si>
    <t>นายกเทศมนตรีตำบลเขาพระ</t>
  </si>
  <si>
    <t>ชื่อบัญชี</t>
  </si>
  <si>
    <t>เดบิต</t>
  </si>
  <si>
    <t>ภาษีบำรุงท้องที่</t>
  </si>
  <si>
    <t>ภาษีโรงเรือนและที่ดิน</t>
  </si>
  <si>
    <t>ภาษีป้าย</t>
  </si>
  <si>
    <t>ภาษีสุรา</t>
  </si>
  <si>
    <t>ภาษีสรรพสามิต</t>
  </si>
  <si>
    <t>ภาษีธุรกิจเฉพาะ</t>
  </si>
  <si>
    <t>ค่าภาคหลวงแร่</t>
  </si>
  <si>
    <t>ค่าภาคหลวงปิโตรเลียม</t>
  </si>
  <si>
    <t>บาท</t>
  </si>
  <si>
    <t>ภาษีจัดสรร</t>
  </si>
  <si>
    <t>เลขที่บัญชี</t>
  </si>
  <si>
    <t xml:space="preserve"> </t>
  </si>
  <si>
    <t>เงินฝาก ธ.ก.ส. (ออมทรัพย์) เลขที่บัญชี 815-2-37037-4</t>
  </si>
  <si>
    <t xml:space="preserve">  </t>
  </si>
  <si>
    <t>ลูกหนี้เงินยืมสะสม</t>
  </si>
  <si>
    <t>ลูกหนี้เงินยืมงบประมาณ</t>
  </si>
  <si>
    <t>ลูกหนี้ภาษีบำรุงท้องที่</t>
  </si>
  <si>
    <t>ครุภัณฑ์</t>
  </si>
  <si>
    <t>รายจ่ายรอจ่าย</t>
  </si>
  <si>
    <t>ลูกหนี้ค่าน้ำประปา</t>
  </si>
  <si>
    <t>ค่าธรรมเนียมขอใช้น้ำประปา</t>
  </si>
  <si>
    <t>ค่าปรับผู้กระทำผิดกฎหมายจราจรทางบก</t>
  </si>
  <si>
    <t>ดอกเบี้ยเงินฝากธนาคาร</t>
  </si>
  <si>
    <t>รายได้จากการจำหน่ายน้ำ</t>
  </si>
  <si>
    <t>ค่าขายแบบแปลน</t>
  </si>
  <si>
    <t>รายได้เบ็ดเตล็ดอื่น</t>
  </si>
  <si>
    <t>ภาษีมูลค่าเพิ่ม 1 ใน 9</t>
  </si>
  <si>
    <t>ค่าธรรมเนียมอุทยานแห่งชาติ</t>
  </si>
  <si>
    <t>ค่าธรรมเนียมจดทะเบียนสิทธิและนิติกรรมที่ดิน</t>
  </si>
  <si>
    <t>เงินอุดหนุนศูนย์พัฒนาครอบครัวค้างจ่าย</t>
  </si>
  <si>
    <t>เงินอุดหนุนระบุวัตถุประสงค์</t>
  </si>
  <si>
    <t>รับจ่าย</t>
  </si>
  <si>
    <t>Dr</t>
  </si>
  <si>
    <t>Cr</t>
  </si>
  <si>
    <t>บัญชีเงินสด</t>
  </si>
  <si>
    <t>บัญชีเงินฝากธนาคาร</t>
  </si>
  <si>
    <t>สาขาจันดี  835-6-00451-9</t>
  </si>
  <si>
    <t>สาขาพิปูน 815-5-00022-3</t>
  </si>
  <si>
    <t>สาขาจันดี  835-0-18075-7</t>
  </si>
  <si>
    <t>สาขานคร  801-0-55985-7</t>
  </si>
  <si>
    <t>สาขาพิปูน 815-2-37037-4</t>
  </si>
  <si>
    <t>สาขาพิปูน 815-2-50915-1</t>
  </si>
  <si>
    <t>บัญชีเงินฝาก กสท.</t>
  </si>
  <si>
    <t>รวมสินทรัพย์</t>
  </si>
  <si>
    <t>บัญชีเงินรับฝาก</t>
  </si>
  <si>
    <t>ค่าใช้จ่ายในการจัดเก็บภาษีบำรุงท้องที่</t>
  </si>
  <si>
    <t>ค่าตอบแทนแพทย์ระบบฉุกเฉิน (EMS)</t>
  </si>
  <si>
    <t>เงินทุนโครงการเศรษฐกิจชุมชน</t>
  </si>
  <si>
    <t>ภาคีเครือข่าย ทต.เขาพระ</t>
  </si>
  <si>
    <t>บัญชีรายจ่ายค้างจ่าย</t>
  </si>
  <si>
    <t>บัญชีรายจ่ายรอจ่าย</t>
  </si>
  <si>
    <t>บัญชีเงินุทนสำรองสะสม</t>
  </si>
  <si>
    <t>บัญชีเงินสะสม</t>
  </si>
  <si>
    <t>รวมหนี้สินและเงินสะสม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</si>
  <si>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</si>
  <si>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</si>
  <si>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</si>
  <si>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ค่าธรรมเนียมใบอนุญาตขายสุรา</t>
  </si>
  <si>
    <t>ค่าธรรมเนียมเกี่ยวกับทะเบียนราษฎร</t>
  </si>
  <si>
    <t>ค่าใบอนุญาตจัดตั้งสถานที่จำหน่ายอาหาร</t>
  </si>
  <si>
    <t>หมวดรายได้จากทรัพย์สิน</t>
  </si>
  <si>
    <t>ค่าเช่าหรือบริการสถานที่</t>
  </si>
  <si>
    <t>ดอกเบี้ยเงินฝาก กสท.</t>
  </si>
  <si>
    <t>หมวดรายได้จากสาธารณูปโภคและการพาณิชย์</t>
  </si>
  <si>
    <t>หมวดรายได้เบ็ดเตล็ด</t>
  </si>
  <si>
    <t>ค่ารับรองสำเนาและถ่ายเอกสาร</t>
  </si>
  <si>
    <t>หมวดรายได้จากทุน</t>
  </si>
  <si>
    <t>ค่าขายทอดตลาดทรัพย์สิน</t>
  </si>
  <si>
    <t>รายได้ที่รัฐบาลเก็บแล้วจัดสรรให้ อปท.</t>
  </si>
  <si>
    <t>หมวดภาษีจัดสรร</t>
  </si>
  <si>
    <t>รายได้ที่รัฐบาลอุดหนุนให้ อปท.</t>
  </si>
  <si>
    <t>หมวดเงินอุดหนุนทั่วไป</t>
  </si>
  <si>
    <t>เงินอุดหนุนตามอำนาจหน้าที่และภารกิจถ่ายโอน</t>
  </si>
  <si>
    <t>หมวดเงินอุดหนุนระบุวัตถุประสงค์</t>
  </si>
  <si>
    <t>หมวดเงินอุดหนุนเฉพาะกิจ</t>
  </si>
  <si>
    <t>รวมทั้งสิ้น</t>
  </si>
  <si>
    <t>กรุงไทย กระแสรายวัน</t>
  </si>
  <si>
    <t>ธกส. กระแสรายวัน</t>
  </si>
  <si>
    <t>กรุงไทย ออมทรัพย์</t>
  </si>
  <si>
    <t>ธกส. ออมทรัพย์</t>
  </si>
  <si>
    <t>สินทรัพย์</t>
  </si>
  <si>
    <t>เงินเดือน (ฝ่ายประจำ)</t>
  </si>
  <si>
    <t>เงินเดือน (ฝ่ายการเมือง)</t>
  </si>
  <si>
    <t>เงินอุดหนุนเฉพาะกิจ</t>
  </si>
  <si>
    <t>รายได้จากทุน</t>
  </si>
  <si>
    <t>ศูนย์พัฒนาครอบครัว</t>
  </si>
  <si>
    <t>เบี้ยยังชีพคนชรา</t>
  </si>
  <si>
    <t>เบี้ยยังชีพคนพิการ</t>
  </si>
  <si>
    <t>งบทดลอง</t>
  </si>
  <si>
    <t>ลูกหนี้เงินยืมเงินงบประมาณ</t>
  </si>
  <si>
    <t>เงินประกันสังคม 5%</t>
  </si>
  <si>
    <t>เงินประกันสังคม</t>
  </si>
  <si>
    <t>เบี้ยยังชีพผู้พิการ</t>
  </si>
  <si>
    <t>เบี้ยยังชีพผู้ป่วยเอดส์</t>
  </si>
  <si>
    <t>เงินสำรองจ่าย</t>
  </si>
  <si>
    <t>กบท</t>
  </si>
  <si>
    <t>ใบผ่านรายการบัญชีมาตรฐาน</t>
  </si>
  <si>
    <t>ฝ่าย กองคลัง</t>
  </si>
  <si>
    <t>รหัสบัญชี</t>
  </si>
  <si>
    <t>เงินรายรับ</t>
  </si>
  <si>
    <t>คำอธิบาย</t>
  </si>
  <si>
    <t>ผู้บันทึกบัญชี</t>
  </si>
  <si>
    <t>ผู้อนุมัติ</t>
  </si>
  <si>
    <t>ผู้จัดทำ</t>
  </si>
  <si>
    <t>เพื่อบันทึกรายการจากสมุดเงินสดจ่ายเข้าบัญชีแยกประเภทที่เกี่ยวข้องประจำเดือน</t>
  </si>
  <si>
    <t>เงินฝาก กสท.</t>
  </si>
  <si>
    <t>เงินฝาก กรุงไทย. (กระแสรายวัน) 835-6-00451-9</t>
  </si>
  <si>
    <t>เงินฝาก ธ.ก.ส. (กระแสรายวัน) 815-5-00022-3</t>
  </si>
  <si>
    <t>เงินฝาก ธ.ก.ส. (ออมทรัพย์) 815-2-37037-4</t>
  </si>
  <si>
    <t>เพื่อบันทึกรายการเงินฝากธนาคารกรุงไทยประเภท ออมทรัพย์ เข้าบัญชีเงินฝาก กระแสรายวัน</t>
  </si>
  <si>
    <t>เพื่อบันทึกรายการเงินฝากธนาคาร ธกส. ประเภท ออมทรัพย์ เข้าบัญชีเงินฝาก กระแสรายวัน</t>
  </si>
  <si>
    <t>ลูกหนี้เงินยืมเงินสะสม</t>
  </si>
  <si>
    <t>ใบผ่านรายการบัญชีทั่วไป</t>
  </si>
  <si>
    <t>รายงาน รับ - จ่าย เงินสด</t>
  </si>
  <si>
    <t>จนถึงปัจจุบัน</t>
  </si>
  <si>
    <t>เกิดขึ้นจริง</t>
  </si>
  <si>
    <t>เดือนนี้</t>
  </si>
  <si>
    <t>เดือน</t>
  </si>
  <si>
    <t>ยอดยกมา</t>
  </si>
  <si>
    <t>รายรับ (หมายเหตุ 1)</t>
  </si>
  <si>
    <t>ค่าใช้จ่ายในการจัดเก็บภาษี 5%</t>
  </si>
  <si>
    <t>เงินเดือนฝ่ายการเมือง</t>
  </si>
  <si>
    <t>เงินเดือนฝ่ายประจำ</t>
  </si>
  <si>
    <t>สูงกว่า</t>
  </si>
  <si>
    <t>(ต่ำกว่า)</t>
  </si>
  <si>
    <t>ยอดยกไป</t>
  </si>
  <si>
    <t>รายรับ              รายจ่าย</t>
  </si>
  <si>
    <t>รายงานกระแสเงินสด</t>
  </si>
  <si>
    <t>รับเงินรายรับ</t>
  </si>
  <si>
    <t>รับเงินรับฝาก</t>
  </si>
  <si>
    <t>รับเงินอุดหนุนระบุวัตถุประสงค์</t>
  </si>
  <si>
    <t>รับเงินอุดหนุนเฉพาะกิจ</t>
  </si>
  <si>
    <t>จ่ายเงินตามงบประมาณ</t>
  </si>
  <si>
    <t>จ่ายเงินรับฝาก</t>
  </si>
  <si>
    <t>จ่ายเงินอุดหนุนระบุวัตถุประสงค์</t>
  </si>
  <si>
    <t>จ่ายเงินอุดหนุนเฉพาะกิจ</t>
  </si>
  <si>
    <t>จ่ายเงินลูกหนี้เงินยืมเงินงบประมาณ</t>
  </si>
  <si>
    <t>จ่ายเงินลูกหนี้เงินยืมเงินสะสม</t>
  </si>
  <si>
    <t>ตั้งแต่ต้นปีถึงปัจจุบัน</t>
  </si>
  <si>
    <t>ปรับปรุง</t>
  </si>
  <si>
    <t>จ่ายจากเงินงบประมาณ</t>
  </si>
  <si>
    <t>จ่ายจากเงินอุดหนุนเฉพาะกิจ</t>
  </si>
  <si>
    <t>รับสูง หรือ (ต่ำ) กว่าจ่าย</t>
  </si>
  <si>
    <t>หมายเหตุ 1</t>
  </si>
  <si>
    <t>รายรับจริงประกอบงบทดลองและรายงานรับจ่ายเงินสด</t>
  </si>
  <si>
    <t>รับจริง</t>
  </si>
  <si>
    <t>(1) ภาษีโรงเรือนและที่ดิน</t>
  </si>
  <si>
    <t>(2) ภาษีบำรุงท้องที่</t>
  </si>
  <si>
    <t>(3) ภาษีป้าย</t>
  </si>
  <si>
    <t>(3) ค่าธรรมเนียมเกี่ยวกับทะเบียนราษฎร</t>
  </si>
  <si>
    <t>(1) ค่าเช่าหรือบริการสถานที่</t>
  </si>
  <si>
    <t>(2) ดอกเบี้ยเงินฝากธนาคาร</t>
  </si>
  <si>
    <t>(3) ดอกเบี้ยเงินฝาก กสท.</t>
  </si>
  <si>
    <t>(1) รายได้จากการจำหน่ายน้ำ</t>
  </si>
  <si>
    <t>(1) ค่าขายแบบแปลน</t>
  </si>
  <si>
    <t>(1) ค่าขายทอดตลาดทรัพย์สิน</t>
  </si>
  <si>
    <t>(1) ภาษีมูลค่าเพิ่ม พรบ.กำหนดแผนฯ 2542</t>
  </si>
  <si>
    <t>(2)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</si>
  <si>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</si>
  <si>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</si>
  <si>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</si>
  <si>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</si>
  <si>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</si>
  <si>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ค่าธรรมเนียมอุทยานแห่งชาติ</t>
  </si>
  <si>
    <t>(9) ค่าธรรมเนียมจดทะเบียนสิทธิและนิติกรรมที่ดิน</t>
  </si>
  <si>
    <t>(1) ศูนย์พัฒนาครอบครัว</t>
  </si>
  <si>
    <t>(2) โครงการพื้นที่สร้างสรรค์</t>
  </si>
  <si>
    <t>(1) เบี้ยยังชีพคนชรา</t>
  </si>
  <si>
    <t>(2) เบี้ยยังชีพคนพิการ</t>
  </si>
  <si>
    <t>(5) ค่าวัสดุการศึกษา</t>
  </si>
  <si>
    <t>รับจริงจนถึงปัจจุบัน</t>
  </si>
  <si>
    <t>รวมรายรับตามงบประมาณ</t>
  </si>
  <si>
    <t>รวมรายรับทั้งสิ้น</t>
  </si>
  <si>
    <t>กระดาษทำการกระทบยอด</t>
  </si>
  <si>
    <t>รายจ่ายตามงบประมาณ (จ่ายจากรายรับ)</t>
  </si>
  <si>
    <t>แผนงาน</t>
  </si>
  <si>
    <t>หมวด/ประเภทรายจ่าย</t>
  </si>
  <si>
    <t>00110</t>
  </si>
  <si>
    <t>00111</t>
  </si>
  <si>
    <t>00113</t>
  </si>
  <si>
    <t>00120</t>
  </si>
  <si>
    <t>00121</t>
  </si>
  <si>
    <t>00210</t>
  </si>
  <si>
    <t>00211</t>
  </si>
  <si>
    <t>00212</t>
  </si>
  <si>
    <t>00221</t>
  </si>
  <si>
    <t>00223</t>
  </si>
  <si>
    <t>00232</t>
  </si>
  <si>
    <t>00241</t>
  </si>
  <si>
    <t>00242</t>
  </si>
  <si>
    <t>00252</t>
  </si>
  <si>
    <t>00262</t>
  </si>
  <si>
    <t>00263</t>
  </si>
  <si>
    <t>00321</t>
  </si>
  <si>
    <t>00322</t>
  </si>
  <si>
    <t>00411</t>
  </si>
  <si>
    <t>00220</t>
  </si>
  <si>
    <t>00230</t>
  </si>
  <si>
    <t>00240</t>
  </si>
  <si>
    <t>00250</t>
  </si>
  <si>
    <t>00260</t>
  </si>
  <si>
    <t>00320</t>
  </si>
  <si>
    <t>00410</t>
  </si>
  <si>
    <t>เงินสมทบประกันสังคม</t>
  </si>
  <si>
    <t>เงินสมทบ กบท.</t>
  </si>
  <si>
    <t>เงินสมทบ สปสช.</t>
  </si>
  <si>
    <t>เงินเดือนนายก/รองนายก</t>
  </si>
  <si>
    <t>ค่าตอบแทนพิเศษนายก/รองนายก</t>
  </si>
  <si>
    <t>ค่าตอบแทนเลขาฯ/ที่ปรึกษา</t>
  </si>
  <si>
    <t>ค่าตอบแทนสมาชิก</t>
  </si>
  <si>
    <t>เงินประจำตำแหน่งนายก/รองนายก</t>
  </si>
  <si>
    <t>รวมเดือนนี้</t>
  </si>
  <si>
    <t>รวมตั้งแต่ต้นปี</t>
  </si>
  <si>
    <t>เงินเดือนพนักงานเทศบาล</t>
  </si>
  <si>
    <t>เงินเพิ่มพนักงานเทศบาล</t>
  </si>
  <si>
    <t>เงินประจำตำแหน่ง</t>
  </si>
  <si>
    <t>เงินเพิ่มลูกจ้างประจำ</t>
  </si>
  <si>
    <t>ค่าจ้างพนักงานจ้าง</t>
  </si>
  <si>
    <t>เงินเพิ่มพนักงานจ้าง</t>
  </si>
  <si>
    <t>ค่าตอบแทนผู้ปฏิบัติฯ</t>
  </si>
  <si>
    <t>ค่าเบี้ยประชุม</t>
  </si>
  <si>
    <t>ค่าตอบแทนนอกเวลาฯ</t>
  </si>
  <si>
    <t>ค่าเช่าบ้าน</t>
  </si>
  <si>
    <t>เงินช่วยการศึกษาบุตร</t>
  </si>
  <si>
    <t>เงินช่วยค่ารักษาพยาบาล</t>
  </si>
  <si>
    <t>รายจ่ายให้ได้มาซึ่งบริการ</t>
  </si>
  <si>
    <t>ค่ารับรอง</t>
  </si>
  <si>
    <t>รายจ่ายไม่เข้าลักษณะฯ</t>
  </si>
  <si>
    <t>ค่าบำรุงรักษาและซ่อมแซม</t>
  </si>
  <si>
    <t>วัสดุสำนักงาน</t>
  </si>
  <si>
    <t>วัสดุไฟฟ้าวิทยุ</t>
  </si>
  <si>
    <t>วัสดุก่อสร้าง</t>
  </si>
  <si>
    <t>วัสดุเชื้อเพลิง</t>
  </si>
  <si>
    <t>วัสดุคอมพิวเตอร์</t>
  </si>
  <si>
    <t>วัสดุวิทยาศาสตร์</t>
  </si>
  <si>
    <t>วัสดุเครื่องแต่งกาย</t>
  </si>
  <si>
    <t>วัสดุกีฬา</t>
  </si>
  <si>
    <t>วัสดุการศึกษา</t>
  </si>
  <si>
    <t>วัสดุอื่น</t>
  </si>
  <si>
    <t>ไฟฟ้า</t>
  </si>
  <si>
    <t>โทรศัพท์</t>
  </si>
  <si>
    <t>ไปรษณีย์</t>
  </si>
  <si>
    <t>โทรคมนาคม</t>
  </si>
  <si>
    <t>ครุภัณฑ์สำนักงาน</t>
  </si>
  <si>
    <t>ครุภัณฑ์ยานพาหนะและขนส่ง</t>
  </si>
  <si>
    <t>ครุภัณฑ์โฆษณาและเผยแพร่</t>
  </si>
  <si>
    <t>ค่าบำรุงรักษาครุภัณฑ์</t>
  </si>
  <si>
    <t>ส่วนราชการ</t>
  </si>
  <si>
    <t>ปลัดเทศบาลตำบลเขาพระ</t>
  </si>
  <si>
    <t>510000 งบกลาง</t>
  </si>
  <si>
    <t>521000 เงินเดือนฝ่ายการเมือง</t>
  </si>
  <si>
    <t>522000 เงินเดือนฝ่ายประจำ</t>
  </si>
  <si>
    <t>530100 ค่าตอบแทน</t>
  </si>
  <si>
    <t>53200 ค่าใช้สอย</t>
  </si>
  <si>
    <t>53300 ค่าวัสดุ</t>
  </si>
  <si>
    <t>ค่าอาหารเสริม(นม)</t>
  </si>
  <si>
    <t>534000 ค่าสาธารณูปโภค</t>
  </si>
  <si>
    <t>541000 ค่าครุภัณฑ์</t>
  </si>
  <si>
    <t>542000 ค่าที่ดินและสิ่งก่อสร้าง</t>
  </si>
  <si>
    <t>560000 เงินอุดหนุน</t>
  </si>
  <si>
    <t>กิจการสาธารณะประโยชน์</t>
  </si>
  <si>
    <t>อปท</t>
  </si>
  <si>
    <t>ค่าบำรุงรักษาฯ</t>
  </si>
  <si>
    <t>550000 รายจ่ายอื่น</t>
  </si>
  <si>
    <t>ค่าจ้างที่ปรึกษาฯ</t>
  </si>
  <si>
    <t>00330</t>
  </si>
  <si>
    <t>00332</t>
  </si>
  <si>
    <t>รายจ่ายนอกงบประมาณ (จ่ายจากเงินสะสม)</t>
  </si>
  <si>
    <t>เงินขาดบัญชี</t>
  </si>
  <si>
    <t>เงินรับฝาก (ค่าใช้จ่าย ภบท. 5%)</t>
  </si>
  <si>
    <t>ภาษีมูลค่าเพิ่ม พรบ.กำหนดแผนฯ</t>
  </si>
  <si>
    <t>00123</t>
  </si>
  <si>
    <t>เงินเกินบัญชี</t>
  </si>
  <si>
    <t>00264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</si>
  <si>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</si>
  <si>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</si>
  <si>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</si>
  <si>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</si>
  <si>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r>
      <t>เงินรับฝาก</t>
    </r>
    <r>
      <rPr>
        <b/>
        <sz val="14"/>
        <rFont val="TH SarabunPSK"/>
        <family val="2"/>
      </rPr>
      <t xml:space="preserve"> (หมายเหตุ 2)</t>
    </r>
  </si>
  <si>
    <r>
      <t>รายจ่ายค้างจ่าย</t>
    </r>
    <r>
      <rPr>
        <b/>
        <sz val="14"/>
        <rFont val="TH SarabunPSK"/>
        <family val="2"/>
      </rPr>
      <t xml:space="preserve"> (หมายเหตุ 3)</t>
    </r>
  </si>
  <si>
    <t>ค่าตอบแทนใช้สอยและวัสดุ</t>
  </si>
  <si>
    <t>หมวดที่จ่าย</t>
  </si>
  <si>
    <t>เงินรับฝาก (หมายเหตุ 2)</t>
  </si>
  <si>
    <t>บัญชีรายจ่ายค้างจ่าย (หมายเหตุ 3)</t>
  </si>
  <si>
    <t>เงินฝาก กรุงไทย (ออมทรัพย์) เลขที่บัญชี 835-0-18075-7</t>
  </si>
  <si>
    <t>เงินฝาก กรุงไทย (ออมทรัพย์) 835-0-18075-7</t>
  </si>
  <si>
    <t>งบกลาง (อุดหนุน)</t>
  </si>
  <si>
    <t>สปสช (ข้อผูกพัน)</t>
  </si>
  <si>
    <t>เงินฝาก ธ.ก.ส. (ออมทรัพย์) เลขที่บัญชี 815-2-50915-1</t>
  </si>
  <si>
    <t>เงินช่วยเหลือการปรับสภาพแวดล้อมผู้พิการ</t>
  </si>
  <si>
    <t>ค่าตอบแทน(อุดหนุน)</t>
  </si>
  <si>
    <t>ปิดบัญชี</t>
  </si>
  <si>
    <t>รับจ่าย ก.ย.</t>
  </si>
  <si>
    <t>ออมสิน ประจำ</t>
  </si>
  <si>
    <t xml:space="preserve">เงินฝาก กรุงไทย </t>
  </si>
  <si>
    <t>(ออมทรัพย์) เลขที่บัญชี 835-0-00451-9</t>
  </si>
  <si>
    <t xml:space="preserve">เงินฝาก ธ.ก.ส. </t>
  </si>
  <si>
    <t>(ออมทรัพย์) เลขที่บัญชี 815-2-37037-4</t>
  </si>
  <si>
    <t>(ออมทรัพย์) เลขที่บัญชี 815-2-50915-1</t>
  </si>
  <si>
    <t>ค่าจ้างชั่วคราว (อุดหนุน)</t>
  </si>
  <si>
    <t>ค่าวัสดุ (อุดหนุน)</t>
  </si>
  <si>
    <t>สาขาจันดี 300003690629</t>
  </si>
  <si>
    <t>รับชำระลูกหนี้ค่าน้ำประปา</t>
  </si>
  <si>
    <t>ครุภัณฑ์การศึกษา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</si>
  <si>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</si>
  <si>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</si>
  <si>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</si>
  <si>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ครุภัณฑ์วิทยาศาสตร์</t>
  </si>
  <si>
    <t>ครุภัณฑ์คอมพิวเตอร์</t>
  </si>
  <si>
    <t>เงินรับฝาก (เงินปันผลสหกรณ์)</t>
  </si>
  <si>
    <t>(นางสาววรรณา  ผลบุญ)</t>
  </si>
  <si>
    <t>เจ้าพนักงานการเงินและบัญชี</t>
  </si>
  <si>
    <t>เงินปันผลสหกรณ์</t>
  </si>
  <si>
    <t>ค่าตอบแทน /เงินปันผลสหกรณ์</t>
  </si>
  <si>
    <t>เงินรับฝาก (เงินประกันสัญญา)</t>
  </si>
  <si>
    <t>เบี้ยยังชีพผู้สูงอายุ</t>
  </si>
  <si>
    <t>ค่าธรรมเนียม ค่าปรับและใบอนุญาต</t>
  </si>
  <si>
    <t>รับคืนเงินช่วยเหลือการศึกษาบุตร</t>
  </si>
  <si>
    <t>บัญชีเงินทุนสำรองสะสม</t>
  </si>
  <si>
    <t>รับคืนเงินสะสม</t>
  </si>
  <si>
    <t>รับคืนเบี้ยยังชีพผู้สูงอายุ</t>
  </si>
  <si>
    <t>เงินประกันสัญญา/เงินประกันซอง</t>
  </si>
  <si>
    <t>รายจ่าย:-</t>
  </si>
  <si>
    <t>เงินประกันสัญญา/ประกันซอง</t>
  </si>
  <si>
    <t>เงินเดือน (อุดหนุน)</t>
  </si>
  <si>
    <t>จ่ายตามเทศ</t>
  </si>
  <si>
    <t>รับคืนเบี้ยยังชีพคนพิการ</t>
  </si>
  <si>
    <t>เงินอุดหนุนศูนย์พัฒนาครอบครัว</t>
  </si>
  <si>
    <t>ปิดบัญชีรายจ่ายรอจ่าย เข้าบัญชีเงินสะสม</t>
  </si>
  <si>
    <t>ค่าใช้สอย (อุดหนุนศูนย์พัฒนาครอบครัว)</t>
  </si>
  <si>
    <t>(ออมทรัพย์) เลขที่บัญชี 835-0-18075-7</t>
  </si>
  <si>
    <t>ค่าธรรมเนียมเกี่ยวกับใบอนุญาตการขายสุรา</t>
  </si>
  <si>
    <t>ค่าธรรมเนียมในการออกหนังสือรับรองการแจ้งสถานที่จำหน่ายอาหาร</t>
  </si>
  <si>
    <t>ค่าธรรมเนียมอื่นๆ  (ขอใช้น้ำประปา)</t>
  </si>
  <si>
    <t>ค่าปรับผู้กระทำผิดกฏหมายจราจรทางบก</t>
  </si>
  <si>
    <t>ค่าใบอนุญาตประกอบการค้าสำหรับกิจการที่เป็นอันตรายต่อสุขภาพ</t>
  </si>
  <si>
    <t>ค่าธรรมเนียมเกี่ยวกับการโฆษณาโดยใช้เครื่องขยายเสียง</t>
  </si>
  <si>
    <t>ค่าธรรมเนียมใบอนุญาตจัดตั้งตลาด</t>
  </si>
  <si>
    <t>ค่าเช่าบริการสถานที่</t>
  </si>
  <si>
    <t>รายได้จากการสาธารณูปโภคและการพาณิชย์ (ค่าน้ำประปา)</t>
  </si>
  <si>
    <t>รายได้เบ็ดเตล็ดอื่นๆ</t>
  </si>
  <si>
    <t>ค่าธรรมเนียมจดทะเบียนสิทธิและนิติกรรมตามประมวลกฎหมายที่ดิน</t>
  </si>
  <si>
    <t>งบทดลอง (หลังปิดบัญชี)</t>
  </si>
  <si>
    <t>งบกลาง (อุดหนุนเฉพาะกิจเบี้ยยังชีพผู้พิการ)</t>
  </si>
  <si>
    <t>งบกลาง (อุดหนุนเฉพาะกิจเบี้ยยังชีพผู้สูงอายุ)</t>
  </si>
  <si>
    <t>เงินรายรับ(เงินอุดหนุนเฉพาะกิจเบี้ยยังชีพผู้สูงอายุ)</t>
  </si>
  <si>
    <t>เงินรายรับ(เงินอุดหนุนเฉพาะกิจเบี้ยยังชีพผู้พิการ)</t>
  </si>
  <si>
    <t>เงินฝากธนาคารออมสิน (ประจำ) เลขที่บัญชี  300003690629</t>
  </si>
  <si>
    <t>ปลัดเทศบาล รักษาราชการแทน</t>
  </si>
  <si>
    <t>รับชำระลูกหนี้ภาษีบำรุงท้องที่</t>
  </si>
  <si>
    <t>รับคืนลูกหนี้เงินยืมเงินสะสม (เบี้ยยังชีพผู้สูงอายุ)</t>
  </si>
  <si>
    <t>วันที่ 28/12/2555</t>
  </si>
  <si>
    <t>ปลัดเทศบาล รักษาราชการ</t>
  </si>
  <si>
    <t>เลขที่ 3/12/2556</t>
  </si>
  <si>
    <t>เงินฝากธนาคาร ธ.ก.ส. (ออมทรัพย์)</t>
  </si>
  <si>
    <t>เพื่อบันทึกรายการปรับปรุงบัญชีให้ถูกต้อง กรณีเช็คที่ไม่เบิกเงินกับธนาคารภายในกำหนด ดังนี้</t>
  </si>
  <si>
    <t>1.เช็คเลขที่ 9017348 ลว.10 ก.พ.52 จำนวน 140.-บาท  ตามฎีกาคลังรับที่ 024/2552 ลว.5 ก.พ.52</t>
  </si>
  <si>
    <t>2.เช็คเลขที่ 9017352 ลว.10 ก.พ.52 จำนวน 150.-บาท  ตามฎีกาคลังรับที่ 024/2552 ลว.5 ก.พ.52</t>
  </si>
  <si>
    <t>3.เช็คเลขที่ 9017482 ลว.12 มี.ค.52 จำนวน 3,000.-บาท  ตามฎีกาคลังรับที่ 198/2552 ลว.12 มี.ค.52</t>
  </si>
  <si>
    <t>เพื่อจ่ายเป็นค่าทำความสะอาดสำนักงาน</t>
  </si>
  <si>
    <t>4.เช็คเลขที่ 0840257 ลว.15 พ.ค.52 จำนวน 8,400.-บาท ตามฎีกาคลังรับที่ 310/2552 ลว.15 พ.ค.52</t>
  </si>
  <si>
    <t>เพื่อจ่ายเป็นค่าจัดทำป้ายประชาสัมพันธ์แข่งขันวิ่งมินิมาราธอน</t>
  </si>
  <si>
    <t>5.เช็คเลขที่ 9429762 ลว.26 ก.ย.54 จำนวน 7,550.-บาท ตามฎีกาคลังรับที่ 716/2554 ลว.26 ก.ย.54</t>
  </si>
  <si>
    <t>เพื่อจ่ายเป็นค่าจัดซื้อท่อคอนกรีต</t>
  </si>
  <si>
    <t>เพื่อจ่ายเป็นค่าช่วยเหลือเกษตรกรผู้ประสบภัยธรรมชาติ โดยจ่ายจากเงินสะสม</t>
  </si>
  <si>
    <t>วัสดุงานบ้านงานครัว</t>
  </si>
  <si>
    <t>เงินรายรับ(เงินอุดหนุนเฉพาะกิจ-เงินเดือนครู ศพด.)</t>
  </si>
  <si>
    <t>เงินรายรับ(เงินอุดหนุนเฉพาะกิจ-ประกันสังคม 5%)</t>
  </si>
  <si>
    <t>เงินรายรับ(เงินอุดหนุนเฉพาะกิจ-ค่าจ้าง ผดด.)</t>
  </si>
  <si>
    <t>เงินรายรับ(เงินอุดหนุนเฉพาะกิจ-ค่าตอบแทน ครู ศพด.)</t>
  </si>
  <si>
    <t>(นายชวลิต  สิทธิฤทธิ์)</t>
  </si>
  <si>
    <t>(นายวสันต์   ไทรแก้ว)</t>
  </si>
  <si>
    <t>เงินรับฝาก (เงินทุนโครงการเศรษฐกิจชุมชน)</t>
  </si>
  <si>
    <t>เงินฝาก ธ.ก.ส. (ออมทรัพย์) 815-2-50915-1</t>
  </si>
  <si>
    <t>เพื่อบันทึกบัญชีส่งคืนเงินรับฝากเงินทุนโครงการเศรษฐกิจชุมชนของเทศบาล ให้แก่ ที่ทำการปกครองอำเภอพิปูน</t>
  </si>
  <si>
    <t xml:space="preserve">โดย   โอนเข้าบัญชีเงินนอกงบประมาณที่ทำการปกครองอำเภอ บัญชี กระแสรายวัน เลขที่ 815-5-00042-7  </t>
  </si>
  <si>
    <t>งบกลาง (เงินอุดหนุนเฉพาะกิจเบี้ยยังชีพผู้สูงอายุ)</t>
  </si>
  <si>
    <t>รับคืนลูกหนี้เงินยืมเงินงบประมาณ</t>
  </si>
  <si>
    <t>รับคืนลูกหนี้เงินยืมเงินสะสม (เบี้ยยังชีพผู้พิการ)</t>
  </si>
  <si>
    <t>เงินปันผลสหกรณ์/ค่าตอนแทน</t>
  </si>
  <si>
    <t>บำรุงสันนิบาตเทศบาล</t>
  </si>
  <si>
    <t>ประกอบด้วย ใบสำคัญ 761,400.-บาท  เงินสด 1,400.-บาท</t>
  </si>
  <si>
    <t>ณ วันที่ 30 เมษายน 2556</t>
  </si>
  <si>
    <t>รับคืนเงินเพิ่มค่าครองชีพ</t>
  </si>
  <si>
    <t>เงินรายรับ(เงินอุดหนุนเฉพาะกิจ-ครุภัณฑ์คอมพิวเตอร์)</t>
  </si>
  <si>
    <t>รับคืนเงินอุดหนุนศูนย์พัฒนาครอบครัว</t>
  </si>
  <si>
    <t>งบกลาง (เงินอุดหนุนเฉพาะกิจเบี้ยยังชีพผู้พิการ)</t>
  </si>
  <si>
    <t>ณ วันที่ 31 พฤษภาคม 2556</t>
  </si>
  <si>
    <t>ณ วันที่ 28 มิถุนายน 2556</t>
  </si>
  <si>
    <t>รับคืนเงินค่าลงทะเบียน</t>
  </si>
  <si>
    <t>00244</t>
  </si>
  <si>
    <t>เลขที่ 01/07/2556</t>
  </si>
  <si>
    <t>วันที่ 31/07/2556</t>
  </si>
  <si>
    <t>เงินทุนสำรองเงินสะสม</t>
  </si>
  <si>
    <t>เลขที่ 03/07/2556</t>
  </si>
  <si>
    <t>เงินรับฝาก-เงินทุนโครงการเศรษฐกิจชุมชน</t>
  </si>
  <si>
    <t>เพื่อบันทึกรับดอกเบี้ยเงินฝาก บัญชีเงินทุนโครงการเศรษฐกิจชุมชน ณ วันที่ 31 มีนาคม 2556</t>
  </si>
  <si>
    <t xml:space="preserve">ซึ่งยังไม่ได้บันทึกบัญชี จำนวน 1,707.67 บาท </t>
  </si>
  <si>
    <t>ในวันที่ 31 พฤษภาคม 2556  จำนวนเงิน 50,000.- บาท</t>
  </si>
  <si>
    <t>ลูกหนี้เงินยืมเงินนอกงบประมาณ</t>
  </si>
  <si>
    <t>งบกลาง (อุดหนุนเฉพาะกิจประกันสังคม)</t>
  </si>
  <si>
    <t>ค่าวัสดุ (อุดหนุนเฉพาะกิจ สื่อการเรียนรู้ วัสดุการศึกษา)</t>
  </si>
  <si>
    <t>เลขที่ 06/07/2556</t>
  </si>
  <si>
    <t>เงินรับฝาก-เงินประกันสัญญา</t>
  </si>
  <si>
    <t xml:space="preserve">เพื่อบันทึกบัญชี ริบเงินประกันสัญญา บริษัทอัครวัฒน์  ธนภพ จำกัด จำนวน 114,850.-บาท เข้าบัญชีเงินสะสม </t>
  </si>
  <si>
    <t>เนื่องจาก บริษัทอัครวัฒน์ ธนภาพ จำกัด ไม่อาจปฏิบัติตามสัญญาต่อไปได้ ผู้ซื้อจึงใช้สิทธิบอกเลิกสัญญาและริบเงินประกันสัญญา</t>
  </si>
  <si>
    <t xml:space="preserve">สัญญาเลขที่ 11/2555 ลงวันที่ 19 กรกฎาคม 2555 </t>
  </si>
  <si>
    <t>เงินเดือน (อุดหนุนเฉพาะกิจ)</t>
  </si>
  <si>
    <t>ค่าจ้างชั่วคราว (อุดหนุนเฉพาะกิจ)</t>
  </si>
  <si>
    <t>งบกลาง (อุดหนุนเฉพาะกิจ)</t>
  </si>
  <si>
    <t>ณ วันที่ 31 กรกฎาคม 2556</t>
  </si>
  <si>
    <t>จ่ายเงินลูกหนี้เงินยืมเงินนอกงบประมาณ</t>
  </si>
  <si>
    <t>รับจ่าย ก.ค.56</t>
  </si>
  <si>
    <t>งบทดลอง ก.ค.56</t>
  </si>
  <si>
    <t xml:space="preserve"> งบ เม.ย.56</t>
  </si>
  <si>
    <t>รับจ่าย พ.ค.56</t>
  </si>
  <si>
    <t xml:space="preserve"> งบ พ.ค.56</t>
  </si>
  <si>
    <t>รับจ่าย มิ.ย.56</t>
  </si>
  <si>
    <t xml:space="preserve"> งบ มิ.ย.56</t>
  </si>
  <si>
    <t>ค่าธรรมเนียมออกหนังสือรับรองการแจ้งสถานที่จำหน่ายอาหาร</t>
  </si>
  <si>
    <t>ค่าตอบแทน (อุดหนุนสวัสดิการครู)</t>
  </si>
  <si>
    <t>ค่าใบอนุญาตกิจการค้าสำหรับกิจการที่เป็นอันตรายต่อสุขภาพ</t>
  </si>
  <si>
    <t>ค่าตอบแทน (อุดหนุนเฉพาะกิจ)</t>
  </si>
  <si>
    <t>ค่าใช้สอย (อุดหนุนเฉพาะกิจ)</t>
  </si>
  <si>
    <t>ค่าวัสดุ (อุดหนุนเฉพาะกิจ)</t>
  </si>
  <si>
    <r>
      <t>เงินรับฝาก</t>
    </r>
    <r>
      <rPr>
        <b/>
        <sz val="14"/>
        <rFont val="TH SarabunPSK"/>
        <family val="2"/>
      </rPr>
      <t xml:space="preserve">   (หมายเหตุ 2)</t>
    </r>
  </si>
  <si>
    <r>
      <t>รายจ่ายค้างจ่าย</t>
    </r>
    <r>
      <rPr>
        <b/>
        <sz val="14"/>
        <rFont val="TH SarabunPSK"/>
        <family val="2"/>
      </rPr>
      <t xml:space="preserve">    (หมายเหตุ 3)</t>
    </r>
  </si>
  <si>
    <t>+</t>
  </si>
  <si>
    <t>วันที่ 30/08/2556</t>
  </si>
  <si>
    <t>รับจ่าย ส.ค.56</t>
  </si>
  <si>
    <t xml:space="preserve"> งบเดือน ส.ค.56</t>
  </si>
  <si>
    <t>เงินรายรับ(เงินอุดหนุนเฉพาะกิจ-โครงการยาเสพติด)</t>
  </si>
  <si>
    <t>รับคืนเงินลูกหนี้เงินยืมเงินงบประมาณ</t>
  </si>
  <si>
    <t>เลขที่ 08/08/2556</t>
  </si>
  <si>
    <t>เพื่อบันทึกรายการปรับปรุงบัญชีลูกหนี้เงินยืมงบประมาณปี 2551 ให้ถูกต้อง เนื่องจากลูกหนี้ส่งใช้เงินยืมแล้ว</t>
  </si>
  <si>
    <t>ตามเอกสารที่แนบมานี้</t>
  </si>
  <si>
    <t>ณ วันที่ 31 สิงหาคม 2556</t>
  </si>
  <si>
    <t>วันที่  30/09/2556</t>
  </si>
  <si>
    <t>วันที่ 30/09/2556</t>
  </si>
  <si>
    <t>เลขที่ 03/09/2556</t>
  </si>
  <si>
    <t>เพื่อบันทึกบัญชีส่งใช้เงินยืมเงินเดือนและเงินเพิ่มค่าครองชีพชั่วคราวของครูผู้ดูแลเด็ก ประจำเดือนสิงหาคม 2556</t>
  </si>
  <si>
    <t>ตามสัญญายืมเลขที่ 50/2556 ลว. 20 ส.ค.56   ราย นางจารุวรรณ  จรเปลี่ยว</t>
  </si>
  <si>
    <t>เลขที่ 04/09/2556</t>
  </si>
  <si>
    <t>เพื่อบันทึกบัญชีส่งใช้เงินยืมค่าจ้างและเงินเพิ่มค่าครองชีพชั่วคราวของพนักงานจ้างผู้ดูแลเด็ก ประจำเดือนส.ค.56</t>
  </si>
  <si>
    <t>ตามสัญญายืมเลขที่ 51/2556  ลว. 20 ส.ค.56  ราย นางสุมาลี  จินาภิรมย์ จำนวน 36,000.-บาท</t>
  </si>
  <si>
    <t>เลขที่ 12/09/2556</t>
  </si>
  <si>
    <t>เพื่อบันทึกรายการปรับปรุงบัญชีรายได้จากการจำหน่ายน้ำลดลง 450.-บาท เนื่องจากเป็นลูกหนี้ค่าน้ำประปา</t>
  </si>
  <si>
    <t>รายละเอียด ตามเอกสารที่แนบมานี้</t>
  </si>
  <si>
    <t>เลขที่ 13/09/2556</t>
  </si>
  <si>
    <t>งบกลาง (อุดหนุนเฉพาะกิจโครงการป้องกันและแก้ไขปัญหายาเสพติด)</t>
  </si>
  <si>
    <t>งบกลาง (อุดหนุนเฉพาะกิจทุนการศึกษา ศพด.)</t>
  </si>
  <si>
    <t>รายได้จากการจำหน่ายน้ำ (ถอนเงินฝากเกินบัญชี)</t>
  </si>
  <si>
    <t>เพื่อบันทึกรายการปรับปรุงบัญชีเงินอุดหนุนศูนย์พัฒนาครอบครัวให้ถูกต้อง</t>
  </si>
  <si>
    <t>เนื่องจาก ได้รับเงินอุดหนุน ประจำปี 2556 จำนวน 21,800.-บาท แต่รายจ่ายที่เกิดขึ้น จำนวน 21,814.- ส่วนที่เกินจากเงิน</t>
  </si>
  <si>
    <t xml:space="preserve">อุดหนุนเฉพาะกิจ จำนวน 14 บาท  จึงเบิกจ่ายจากเงินอุดหนุนศูนย์พัฒนาครอบครัวค้างจ่าย </t>
  </si>
  <si>
    <t xml:space="preserve"> งบทดลองก่อนปิดบัญชี ก.ย.56</t>
  </si>
  <si>
    <t>งบทดลองหลังปิดบัญชี ก.ย.56</t>
  </si>
  <si>
    <t>ทุนการศึกษา</t>
  </si>
  <si>
    <t>ค่าใช้สอย(อุดหนุนเฉพาะกิจโครงการป้องกันและแก้ไขปัญหายาเสพติด</t>
  </si>
  <si>
    <t>เลขที่ 35/09/2556</t>
  </si>
  <si>
    <t>เพื่อบันทึกรายการรายจ่ายค้างจ่าย หมวด ค่าที่ดินและสิ่งก่อสร้าง ประเภท ค่าบำรุงและปรับปรุงที่ดินและสิ่งก่อสร้าง เพื่อจ่าย</t>
  </si>
  <si>
    <t>เป็นค่าจ้างเหมาซ่อมแซมถนนสายซอยเอกจากบ้านนายวิโรจน์ มีแก้ว ถึงสวนปาล์มนายวุฒิ สมทรัพย์ หมู่ที่ 7</t>
  </si>
  <si>
    <t>ตามฎีกาเลขที่ ช.864/56  ลว.30 ก.ย.56</t>
  </si>
  <si>
    <t>เลขที่ 36/09/2556</t>
  </si>
  <si>
    <t>เพื่อบันทึกรายการรายจ่ายค้างจ่าย หมวด ค่าใช้สอย ประเภท รายจ่ายเพื่อให้ได้มาซึ่งบริการ เพื่อจ่าย</t>
  </si>
  <si>
    <t>เป็นค่าจ้างเหมาติดตั้งและซ่อมแซมระบบไฟฟ้าส่องสว่างสาธารณะที่ชำรุดเสียหาย จำนวน 52 จุด</t>
  </si>
  <si>
    <t>ตามฎีกาเลขที่ ช.873/56  ลว.30 ก.ย.56</t>
  </si>
  <si>
    <t>เลขที่ 40/09/2556</t>
  </si>
  <si>
    <t>เพื่อบันทึกรายการรายจ่ายค้างจ่าย หมวด ค่าครุภัณฑ์ ประเภท ค่าครุภัณฑ์ไฟฟ้าและวิทยุ เพื่อจ่าย</t>
  </si>
  <si>
    <t>เป็นค่าซื้อชุดเครื่องขยายเสียงแบบกระเป๋าหิ้ว จำนวน 1 ชุด</t>
  </si>
  <si>
    <t>ตามฎีกาเลขที่ ป.868/56  ลว.30 ก.ย.56</t>
  </si>
  <si>
    <t>เลขที่ 42/09/2556</t>
  </si>
  <si>
    <t>งบกลาง(อุดหนุนเฉพาะกิจประกันสังคม)</t>
  </si>
  <si>
    <t>เงินรับฝาก-เงินอุดหนุนเฉพาะกิจประกันสังคม</t>
  </si>
  <si>
    <t>เพื่อบันทึกรายการบัญชีเงินอุดหนุนเฉพาะกิจเข้าบัญชีเงินรับฝาก เพื่อรอนำส่งสำนักงานท้องถิ่นจังหวัดฯ ต่อไป</t>
  </si>
  <si>
    <t>ประกันสังคม</t>
  </si>
  <si>
    <t>เลขที่ 43/09/2556</t>
  </si>
  <si>
    <t>ปิดบัญชีรายได้จากการจำหน่ายน้ำประปา เข้าบัญชีลูกหนี้ค่าน้ำประปา ประจำปีงบประมาณ 2556</t>
  </si>
  <si>
    <t>จำนวน 26,332.50 บาท</t>
  </si>
  <si>
    <t>เลขที่ 44/09/2556</t>
  </si>
  <si>
    <t>ปิดบัญชีรายได้จากการจัดเก็บภาษีบำรุงท้องที่ เข้าบัญชีลูกหนี้ภาษีบำรุงท้องที่ ประจำปีงบประมาณ 2556</t>
  </si>
  <si>
    <t>จำนวน 2,090.75 บาท</t>
  </si>
  <si>
    <t>รายได้ภาษีบำรุงท้องที่</t>
  </si>
  <si>
    <t>เลขที่ 45/09/2556</t>
  </si>
  <si>
    <t>ปรับปรุงบัญชีลูกหนี้ภาษีบำรุงท้องที่ให้ถูกต้อง</t>
  </si>
  <si>
    <t xml:space="preserve">เนื่องจากบันทึกบัญชีลดยอดลูกหนี้ภาษีบำรุงท้องที่ผิด เป็นลูกหนี้ค่าน้ำประปา จำนวน 127.31 รายละเอียด </t>
  </si>
  <si>
    <t>ตามเอกสารแนบ</t>
  </si>
  <si>
    <t>เงินสมทบ กองทุนสวัสดิการชุมชน</t>
  </si>
  <si>
    <t>ครุภัณฑ์งานบ้านงานครัว</t>
  </si>
  <si>
    <t>ส่งใช้เงินยืม</t>
  </si>
  <si>
    <t>ส่งคืน</t>
  </si>
  <si>
    <t>ส่งคืนคลังจังหวัด เบี้ยยังชีพผู้สูงอายุ</t>
  </si>
  <si>
    <t>ส่งคืนคลังจังหวัด  เงินอุดหนุนศูนย์พัฒนาครอบครัว</t>
  </si>
  <si>
    <t>เงินฝากเกินบัญชี</t>
  </si>
  <si>
    <t>ส่งคืน(เบี้ยยังชีพผู้สูงอายุ)</t>
  </si>
  <si>
    <t>ส่งคืน(เงินอุดหนุนเฉพาะกิจศูนย์พัฒนาครอบครัว)</t>
  </si>
  <si>
    <t>งบทดลอง (ก่อนปิดบัญชี)</t>
  </si>
  <si>
    <t>ณ วันที่ 30 กันยายน 2556</t>
  </si>
  <si>
    <t>เลขที่ 46/09/2556</t>
  </si>
  <si>
    <t>ภาษีมูลค่าเพิ่มตาม พ.ร.บ.กำหนดแผนฯ</t>
  </si>
  <si>
    <t>ค่าครุภัณฑ์ (อุดหนุนเฉพาะกิจ)</t>
  </si>
  <si>
    <t>เงินเดือนฝ่ายประจำ (อุดหนุนเฉพาะกิจ)</t>
  </si>
  <si>
    <t>เลขที่ 47/09/2556</t>
  </si>
  <si>
    <t>เพื่อบันทึกรายการปรับปรุงบัญชีค่าครุภัณฑ์ให้ถูกต้อง</t>
  </si>
  <si>
    <t>เนื่องจากบันทึกรายการจ่ายค่าซื้อเครื่องคอมพิวเตอร์เป็นค่าวัสดุสื่อการเรียน ตามฎีกาเลขที่ นป.083./56 ลว.29 พ.ค.56</t>
  </si>
  <si>
    <t>ค่าครุภัณฑ์คอมฯ (อุดหนุนเฉพาะกิจ)</t>
  </si>
  <si>
    <t>ค่าครุภัณฑ์ (อุดหนุนฉพาะกิจ)</t>
  </si>
  <si>
    <t>เลขที่ 48/09/2556</t>
  </si>
  <si>
    <t xml:space="preserve">เงินรับฝาก </t>
  </si>
  <si>
    <t>งบกลาง (เงินอุดหนุนเฉพาะกิจเบี้ยยังชีพคนพิการ)</t>
  </si>
  <si>
    <t>งบกลาง(เงินหนุนเฉพาะกิจเบี้ยยังชีพผู้สูงอายุ)</t>
  </si>
  <si>
    <t>เลขที่ 49/09/2556</t>
  </si>
  <si>
    <t>เพื่อบันทึกรายการปรับปรุงบัญชีรายจ่ายงบกลาง(เงินอุดหนุนเบี้ยยังชีพผู้สูงอายุ) ให้ถูกต้อง</t>
  </si>
  <si>
    <t xml:space="preserve">เนื่องจากรายการจ่าย เบี้ยยังชีพผู้สูงอายุ ประจำเดือน สิงหาคม 2556 ตามสัญญายืมเลขที่ 48/2556 ลว.30 ก.ค.56 </t>
  </si>
  <si>
    <t>จำนวน 611,700.-บาท  แต่ได้บันทึกส่งใช้เงินยืม จำนวน 665,200.-บาท ตามใบผ่านรายการบัญชีทั่วไป เลขที่ 05/08/56</t>
  </si>
  <si>
    <t>เลขที่ 50/09/2556</t>
  </si>
  <si>
    <t>เงินเดือน (เงินอุดหนุนเฉพาะกิจ)</t>
  </si>
  <si>
    <t>เพื่อบันทึกรายการปรับปรุงบัญชีเงินเดือนให้ถูกต้อง</t>
  </si>
  <si>
    <t>รายละเอียดตามเอกสารแนบ</t>
  </si>
  <si>
    <t>ปิดบัญชี เงินรายรับ -รายจ่าย เข้าบัญชีเงินสะสม ประจำปี 2556</t>
  </si>
  <si>
    <t>เลขที่ 51/09/2556</t>
  </si>
  <si>
    <t>เพื่อบันทึกรายการเงินทุนสำรองสะสม ประจำปี 2556</t>
  </si>
  <si>
    <t>ทุนสำรองเงินสะสม</t>
  </si>
  <si>
    <t>เลขที่ 52/09/2556</t>
  </si>
  <si>
    <t>รายละเอียดตามเอกสารที่แนบมานี้</t>
  </si>
  <si>
    <t>เลขที่ 54/09/2556</t>
  </si>
  <si>
    <t>ตามฎีกาเลขที่ ช.894/56  ลว.30 ก.ย.56</t>
  </si>
  <si>
    <t>เป็นค่าจ้างเหมาซ่อมแซมถนนสายหมู่บ้านจุฬาภรณ์พัฒนา2 ระยะทาง 9 กิโลเมตร (ขยายเวลาเบิกจ่าย 6 เดือน)</t>
  </si>
  <si>
    <t>วันที่ 31/10/2556</t>
  </si>
  <si>
    <t>นักวิชาการเงินและบัญชี</t>
  </si>
  <si>
    <t>รับคืนเงินค่าตอบแทนกรรมการตรวจการจ้าง</t>
  </si>
  <si>
    <t>ยกมา 1 ต.ค.56</t>
  </si>
  <si>
    <t xml:space="preserve"> งบ ต.ค.56</t>
  </si>
  <si>
    <t>ค่าธรรมเนียมเก็บและขนขยะมูลฝอย</t>
  </si>
  <si>
    <t>ค่าธรรมเนียมจดทะเบียนพาณิชย์</t>
  </si>
  <si>
    <t>ค่าใบอนุญาตจัดตั้งสถานที่จำหน่ายอาหารซึ่งมีพื่นที่เกิน 200 ตร.ม.</t>
  </si>
  <si>
    <t>ค่าใบอนุญาตจัดตั้งตลาดเอกชน</t>
  </si>
  <si>
    <t>ค่าธรรมเนียมโฆษณาใช้เครื่องขยายเสียง</t>
  </si>
  <si>
    <t>วันที่  31/10/2556</t>
  </si>
  <si>
    <t>เลขที่ 02/10/2557</t>
  </si>
  <si>
    <t>เลขที่ 4/10/2557</t>
  </si>
  <si>
    <t>เงินฝาก ธ.ก.ส. (ออมทรัพย์)  815-2-37037-4</t>
  </si>
  <si>
    <t>เพื่อบันทึกรายการถอนเงินฝากธนาคารกรุงไทย (ออมทรัพย์) ฝากเข้าบัญชีเงินฝาก ธกส. (ออมทรัพย์) เพื่อรองรับ</t>
  </si>
  <si>
    <t>การเบิกจ่ายเงินแก่ผู้มีสิทธิรับเงินต่อไป จำนวน 10,000,000.-บาท</t>
  </si>
  <si>
    <t>ณ วันที่ 31 ตุลาคม 2556</t>
  </si>
  <si>
    <t>(นายชวลิต สิทธิฤทธิ์)</t>
  </si>
  <si>
    <t>วันที่ 31 ตุลาคม 2556</t>
  </si>
  <si>
    <t>(3) เงินประกันสังคม 5%</t>
  </si>
  <si>
    <t>(5) ค่าธรรมเนียมขอใช้น้ำประปา</t>
  </si>
  <si>
    <t>(6) ค่าปรับผู้กระทำผิดกฎหมายจราจรทางบก</t>
  </si>
  <si>
    <t>(7) ค่าปรับผิดสัญญา</t>
  </si>
  <si>
    <t>(8) ค่าใบอนุญาตกิจการค้าเป็นอันตรายต่อสุขภาพ</t>
  </si>
  <si>
    <t>(9) ค่าใบอนุญาตจัดตั้งสถานที่จำหน่ายอาหารซึ่งมีพื้นที่เกิน 200 ตร.ม.</t>
  </si>
  <si>
    <t>(10) ค่าใบอนุญาตจัดตั้งตลาดเอกชน</t>
  </si>
  <si>
    <t>(2) รายได้เบ็ดเตล็ดอื่น</t>
  </si>
  <si>
    <t>(1) เงินอุดหนุนตามอำนาจหน้าที่และภารกิจถ่ายโอนเลือกทำ</t>
  </si>
  <si>
    <t>(1) ค่าธรรมเนียมเก็บและขนขยะมูลฝอย</t>
  </si>
  <si>
    <t>(2) ค่าธรรมเนียมในการออกหนังสือรับรองการแจ้งสถานที่จำหน่ายอาหาร</t>
  </si>
  <si>
    <t>(4) ค่าธรรมเนียมจดทะเบียนพาณิชย์</t>
  </si>
  <si>
    <t>(4) ค่าจ้างชั่วคราว ผดด.</t>
  </si>
  <si>
    <t>ตุลาคม 2556</t>
  </si>
  <si>
    <t>อุดหนุนเฉพาะกิจ</t>
  </si>
  <si>
    <t>ปีงบประมาณ 2557</t>
  </si>
  <si>
    <t>ประจำเดือน ตุลาคม 2556</t>
  </si>
  <si>
    <t>รับคืนเบิกเกินส่งคืน</t>
  </si>
  <si>
    <t>เงินเบิกเกินส่งคืน</t>
  </si>
  <si>
    <t>วันที่ 30/11/2556</t>
  </si>
  <si>
    <t>เพื่อบันทึกรายการปรับปรุงบัญชีลูกหนี้ภาษีบำรุงท้องที่ให้ถูกต้อง</t>
  </si>
  <si>
    <t>เลขที่ 04/11/2557</t>
  </si>
  <si>
    <t>เงินทุนสำรองสะสม</t>
  </si>
  <si>
    <t>ณ วันที่ 30 พฤศจิกายน 2556</t>
  </si>
  <si>
    <t>วันที่ 30 พฤศจิกายน 2556</t>
  </si>
  <si>
    <t>เพียงวันที่ 30 พฤศจิกายน 2556</t>
  </si>
  <si>
    <t>เพียงวันที่ 31 ตุลาคม 2556</t>
  </si>
  <si>
    <t>พฤศจิกายน 2556</t>
  </si>
  <si>
    <t>ประจำเดือน พฤศจิกายน 2556</t>
  </si>
  <si>
    <t>รับจ่าย พ.ย.56</t>
  </si>
  <si>
    <t xml:space="preserve"> งบ พ.ย.56</t>
  </si>
  <si>
    <t>รับจ่าย ธ.ค.56</t>
  </si>
  <si>
    <t xml:space="preserve"> งบ ธ.ค.56</t>
  </si>
  <si>
    <t>เทศบาลตำบลเขาพระ อำเภอพิปูน จังหวัดนครศรีธรรมราช</t>
  </si>
  <si>
    <t>เงินฝาก ก.ส.ท.</t>
  </si>
  <si>
    <t>วันที่ 18/12/2556</t>
  </si>
  <si>
    <t>ประกอบด้วยใบสำคัญ จำนวน 7,040.- บาท  เงินสด จำนวน 9,960.- บาท</t>
  </si>
  <si>
    <t>เลขที่ 13/12/2557</t>
  </si>
  <si>
    <t>เพื่อบันทึกบัญชีส่งใช้เงินยืมเบี้ยยังชีพผู้พิการตามนโยบายรัฐบาล ประจำเดือน ธันวาคม 2556</t>
  </si>
  <si>
    <t>ตามสัญญายืมเลขที่ 17/2557 ลว. 2 ธ.ค.2556  ราย นายฆ้องคมน์  พลอินทร์  จำนวน 87,000.-บาท</t>
  </si>
  <si>
    <t>ลูกหนี้เงินยืมนอกงบประมาณ</t>
  </si>
  <si>
    <t>เงินเดือน ศพด.</t>
  </si>
  <si>
    <t>ค่าจ้าง ศพด.</t>
  </si>
  <si>
    <t>ประกันสังคม ศพด.</t>
  </si>
  <si>
    <t>ค่าตอบแทน ศพด.</t>
  </si>
  <si>
    <t>ณ วันที่ 31 ธันวาคม 2556</t>
  </si>
  <si>
    <t>งบกลาง (นอก)</t>
  </si>
  <si>
    <t>วันที่ 31 ธันวาคม 2556</t>
  </si>
  <si>
    <t>เพียงวันที่ 31 ธันวาคม 2556</t>
  </si>
  <si>
    <t>ธันวาคม 2556</t>
  </si>
  <si>
    <t>ประจำเดือน ธันวาคม 2556</t>
  </si>
  <si>
    <t>ประจำเดือน ธ้นวาคม 2556</t>
  </si>
  <si>
    <t>(นางชุติมา   ลอยประเสริฐ)</t>
  </si>
  <si>
    <t>มกราคม 2557</t>
  </si>
  <si>
    <t>(นางชุติมา  ลอยประเสริฐ)</t>
  </si>
  <si>
    <t>เงินรับฝาก - ภาษีหัก ณ ที่จ่าย</t>
  </si>
  <si>
    <t>เงินรับฝาก - ประกันสังคม</t>
  </si>
  <si>
    <t>เงินรับฝาก ( เงินทุนโครงการเศรษฐกิจชุมชน )</t>
  </si>
  <si>
    <t>เลขที่ 02/02/2557</t>
  </si>
  <si>
    <t>เลขที่ 03/01/2557</t>
  </si>
  <si>
    <t>วันที่  02/01/2557</t>
  </si>
  <si>
    <t>เพื่อบันทึกส่งใช้เงินยืมค่าใช้จ่ายในการเดินทางไปราชการเข้าร่วมโครงการอบรมหลักสูตร"ปัญหา ข้อหารือ และ</t>
  </si>
  <si>
    <t>แนวทางปฏิบัติของผู้ควบคุมงาน คณะกรรมการตรวจการจ้างฯ ระหว่างวันที่ 18-20 ธันวาคม 2556</t>
  </si>
  <si>
    <t xml:space="preserve">ตามสัญญายืมเลขที่ 19/2557  ลว. 11 ธ.ค.2556  ราย นายชวลิต  สิทธิฤทธิ์ จำนวน 13,960.-บาท </t>
  </si>
  <si>
    <t>เลขที่ 04/01/2557</t>
  </si>
  <si>
    <t>วันที่ 14/01/2557</t>
  </si>
  <si>
    <t>เพื่อบันทึกบัญชีส่งใช้เงินยืมเบี้ยยังชีพผู้สูงอายุ,ผู้พิการ ตามนโยบายรัฐบาล ประจำเดือน มกราคม 2557</t>
  </si>
  <si>
    <t>ตามสัญญายืมเลขที่ 23/2557  ลว. 3 ม.ค.57  ราย น.ส.อัญชิสา  มีพัฒน์ จำนวน 701,600.-บาท</t>
  </si>
  <si>
    <t>รับจ่าย ม.ค.2557</t>
  </si>
  <si>
    <t>รับจ่าย ก.พ.2557</t>
  </si>
  <si>
    <t xml:space="preserve"> งบ ก.พ.2557</t>
  </si>
  <si>
    <t xml:space="preserve"> งบ มี.ค.2557</t>
  </si>
  <si>
    <t>รับจ่าย เม.ย.2557</t>
  </si>
  <si>
    <t xml:space="preserve"> งบเดือน มกราคม 2557</t>
  </si>
  <si>
    <t>ณ วันที่ 31 มกราคม 2557</t>
  </si>
  <si>
    <t>วันที่ 31 มกราคม 2557</t>
  </si>
  <si>
    <t>(6) เงินเดือนครูผู้ดูแลเด็ก</t>
  </si>
  <si>
    <t>เพียงวันที่ 31 มกราคม 2557</t>
  </si>
  <si>
    <t>ประจำเดือน มกราคม 2557</t>
  </si>
  <si>
    <t>ประจำเดือน กุมภาพันธ์ 2557</t>
  </si>
  <si>
    <t>ครุภัณฑ์เครื่องดับเพลิง</t>
  </si>
  <si>
    <t>วันที่ 28/02/2557</t>
  </si>
  <si>
    <t>กุมภาพันธ์ 2557</t>
  </si>
  <si>
    <t>เงินฝาก ธ.ก.ส. (เงินทุนโครงการเศรษฐกิจชุมชน) 815-2-50915-1</t>
  </si>
  <si>
    <t>เพื่อบันทึกรายการปรับปรุงบัญชีเงินฝากเงินทุนโครงการเศรษฐกิจชุมชนให้ถูกต้อง เนื่องจากฝากเงินผิดบัญชี</t>
  </si>
  <si>
    <t>รายละเอียดตามบันทึกที่แนบมานี้</t>
  </si>
  <si>
    <t>เลขที่ 4/02/2557</t>
  </si>
  <si>
    <t xml:space="preserve">เพื่อบันทึกบัญชีส่งใช้เงินยืมเงินสมทบกองทุนประกันสังคมของพนักงานจ้างผู้ดูแลเด็ก </t>
  </si>
  <si>
    <t xml:space="preserve">เพื่อบันทึกบัญชีส่งใช้เงินยืมค่าตอบแทนและเงินเพิ่มการครองชีพชั่วคราวของพนักงานจ้างผู้ดูแลเด็ก </t>
  </si>
  <si>
    <t>เงินรับฝาก (ค่ารักษาพยาบาล)</t>
  </si>
  <si>
    <t>รับคืนเงินเดือน</t>
  </si>
  <si>
    <t>ค่ารักษาพยาบาล</t>
  </si>
  <si>
    <t>เงินปันผล/ค่าตอบแทน จนท.สหกรณ์</t>
  </si>
  <si>
    <t>เพื่อบันทึกรายการโอนเงินฝากธนาคารกรุงไทย ประเภท ออมทรัพย์ เข้าบัญชีเงินฝาก ธกส. ประเภท  ออมทรัพย์</t>
  </si>
  <si>
    <t>จำนวน 10,000,000.-บาท</t>
  </si>
  <si>
    <t>ณ วันที่  28  กุมภาพันธ์ 2557</t>
  </si>
  <si>
    <t>ค่าจ้างชั่วคราว (นอก)</t>
  </si>
  <si>
    <t>เงินเดือน (นอก)</t>
  </si>
  <si>
    <t>วันที่ 28 กุมภาพันธ์ 2557</t>
  </si>
  <si>
    <t>(1) ค่าธรรมเนียมเกี่ยวกับใบอนุญาตการขายสุรา</t>
  </si>
  <si>
    <t>(2) ค่าธรรมเนียมเก็บและขนขยะมูลฝอย</t>
  </si>
  <si>
    <t>(3) ค่าธรรมเนียมในการออกหนังสือรับรองการแจ้งสถานที่จำหน่ายอาหาร</t>
  </si>
  <si>
    <t>(4) ค่าธรรมเนียมเกี่ยวกับทะเบียนราษฎร</t>
  </si>
  <si>
    <t>(5) ค่าธรรมเนียมจดทะเบียนพาณิชย์</t>
  </si>
  <si>
    <t>(6) ค่าธรรมเนียมขอใช้น้ำประปา</t>
  </si>
  <si>
    <t>(7) ค่าปรับผู้กระทำผิดกฎหมายจราจรทางบก</t>
  </si>
  <si>
    <t>(8) ค่าปรับผิดสัญญา</t>
  </si>
  <si>
    <t>(9) ค่าใบอนุญาตกิจการค้าเป็นอันตรายต่อสุขภาพ</t>
  </si>
  <si>
    <t>(10) ค่าใบอนุญาตจัดตั้งสถานที่จำหน่ายอาหารซึ่งมีพื้นที่เกิน 200 ตร.ม.</t>
  </si>
  <si>
    <t>(11) ค่าใบอนุญาตจัดตั้งตลาดเอกชน</t>
  </si>
  <si>
    <t>เพียงวันที่ 28 กุมภาพันธ์ 2557</t>
  </si>
  <si>
    <t>ประมาณการ 7 เดือน</t>
  </si>
  <si>
    <t>รายได้</t>
  </si>
  <si>
    <t>รายจ่ายประจำ  ก.ย.57</t>
  </si>
  <si>
    <t>จ่ายแล้ว</t>
  </si>
  <si>
    <t>ค่าใช้สอย+ค่าวัสดุ+ครุภัณฑ์</t>
  </si>
  <si>
    <t xml:space="preserve"> ตั้งไว้</t>
  </si>
  <si>
    <t>เบิกจ่ายแล้ว</t>
  </si>
  <si>
    <t>คงเหลือยังไม่เบิกจ่าย</t>
  </si>
  <si>
    <t>อุดหนุน</t>
  </si>
  <si>
    <t>เลขที่ 1/03/2557</t>
  </si>
  <si>
    <t>วันที่ 31/03/2557</t>
  </si>
  <si>
    <t>เพื่อบันทึกรายการจากสมุดเงินสดรับเข้าบัญชีแยกประเภทที่เกี่ยวข้องประจำเดือน มีนาคม 2557</t>
  </si>
  <si>
    <t>เลขที่ 2/03/2557</t>
  </si>
  <si>
    <t>มีนาคม 2557</t>
  </si>
  <si>
    <t>เงินอุดหนุนเฉพาะกิจเบี้ยยังชีพผู้สูงอายุ(ส่งคืนคลัง)</t>
  </si>
  <si>
    <t>เงินอุดหนุนศูนย์พัฒนาครอบครัวค้างจ่าย(ส่งคืนคลัง)</t>
  </si>
  <si>
    <t>เงินอุดหนุนเฉพาะกิจเบี้ยยังชีพผู้พิการ (ส่งคืนคลัง)</t>
  </si>
  <si>
    <t>เลขที่ 01/03/2557</t>
  </si>
  <si>
    <t>วันที่  31/03/2557</t>
  </si>
  <si>
    <t>เลขที่ 02/03/2557</t>
  </si>
  <si>
    <t>เลขที่ 05/03/2557</t>
  </si>
  <si>
    <t>ประจำเดือน ต.ค.2556  ตามสัญญายืมเลขที่ 8/2557  ลว. 12 พ.ย.56   ราย  นางสาวจิรวรรณ  สมพันธ์</t>
  </si>
  <si>
    <t>เลขที่ 08/03/2557</t>
  </si>
  <si>
    <t>เพื่อบันทึกบัญชีส่งใช้เงินยืมเงินเดือนและเงินเพิ่มค่าครองชีพชั่วคราวของครูผู้ดูแลเด็ก ประจำเดือน ก.พ.57</t>
  </si>
  <si>
    <t>ตามสัญญายืมเลขที่ 28/2557  ลว.20 ก.พ.2557  ราย นางวรรณี  สุทธิ</t>
  </si>
  <si>
    <t>เลขที่ 09/03/2557</t>
  </si>
  <si>
    <t>ประจำเดือน ก.พ.2557  ตามสัญญายืมเลขที่ 29/2557 ลว. 20 ก.พ.2557  ราย นางศิริรัตน์  คเชนทร์</t>
  </si>
  <si>
    <t>เลขที่ 10/03/2557</t>
  </si>
  <si>
    <t>เพื่อบันทึกบัญชีส่งใช้เงินยืมเบี้ยยังชีพผู้สูงอายุ,ผู้พิการ ตามนโยบายรัฐบาล ประจำเดือน มีนาคม 2557</t>
  </si>
  <si>
    <t>ตามสัญญายืมเลขที่ 30/2557  ลว. 4  มี.ค.57  ราย นายฆ้องคมน์  พลอินทร์</t>
  </si>
  <si>
    <t>ประจำเดือน มีนาคม 2557</t>
  </si>
  <si>
    <t>เลขที่ 11/03/2557</t>
  </si>
  <si>
    <t>ณ วันที่ 31 มีนาคม 2557</t>
  </si>
  <si>
    <t>ลงชื่อ................................................</t>
  </si>
  <si>
    <t>รับจริงจนถึง
ปัจจุบัน</t>
  </si>
  <si>
    <t>วันที่ 31 มีนาคม 2557</t>
  </si>
  <si>
    <t>(1) เบี้ยยังชีพผู้สูงอายุ (ส่งคืนคลัง)</t>
  </si>
  <si>
    <t>(2) เบี้ยยังชีพคนพิการ (ส่งคืนคลัง)</t>
  </si>
  <si>
    <t>เพียงวันที่ 31 มีนาคม 2557</t>
  </si>
  <si>
    <t>ส่งคืนคลัง (เบี้ยยังชีพผู้สูงอายุ)</t>
  </si>
  <si>
    <t>ส่งคืนคลัง (เบี้ยยังชีพผู้พิการ)</t>
  </si>
  <si>
    <t>ส่งคืนคลังจังหวัด เบี้ยยังชีพพิการ</t>
  </si>
  <si>
    <t>เอกชน</t>
  </si>
  <si>
    <t>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</si>
</sst>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"/>
  </numFmts>
  <fonts count="63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"/>
      <name val="Arial"/>
      <family val="2"/>
    </font>
    <font>
      <sz val="13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b/>
      <sz val="12"/>
      <color indexed="10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3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b/>
      <sz val="12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 style="double"/>
      <bottom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36" applyFont="1" applyAlignment="1">
      <alignment/>
    </xf>
    <xf numFmtId="0" fontId="3" fillId="0" borderId="0" xfId="0" applyFont="1" applyAlignment="1">
      <alignment/>
    </xf>
    <xf numFmtId="43" fontId="3" fillId="0" borderId="10" xfId="36" applyFont="1" applyBorder="1" applyAlignment="1">
      <alignment/>
    </xf>
    <xf numFmtId="0" fontId="6" fillId="0" borderId="0" xfId="0" applyFont="1" applyAlignment="1">
      <alignment/>
    </xf>
    <xf numFmtId="43" fontId="6" fillId="0" borderId="0" xfId="36" applyFont="1" applyAlignment="1">
      <alignment/>
    </xf>
    <xf numFmtId="43" fontId="7" fillId="0" borderId="11" xfId="36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43" fontId="7" fillId="0" borderId="11" xfId="36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3" fontId="6" fillId="0" borderId="11" xfId="36" applyFont="1" applyBorder="1" applyAlignment="1">
      <alignment/>
    </xf>
    <xf numFmtId="0" fontId="6" fillId="0" borderId="12" xfId="0" applyFont="1" applyBorder="1" applyAlignment="1">
      <alignment/>
    </xf>
    <xf numFmtId="43" fontId="6" fillId="0" borderId="15" xfId="36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3" fontId="6" fillId="0" borderId="18" xfId="36" applyFont="1" applyBorder="1" applyAlignment="1">
      <alignment/>
    </xf>
    <xf numFmtId="43" fontId="7" fillId="0" borderId="18" xfId="36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4" fillId="0" borderId="11" xfId="36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3" fontId="3" fillId="0" borderId="11" xfId="36" applyFont="1" applyBorder="1" applyAlignment="1">
      <alignment/>
    </xf>
    <xf numFmtId="43" fontId="7" fillId="0" borderId="11" xfId="36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43" fontId="6" fillId="0" borderId="0" xfId="36" applyNumberFormat="1" applyFont="1" applyAlignment="1">
      <alignment/>
    </xf>
    <xf numFmtId="0" fontId="7" fillId="0" borderId="22" xfId="0" applyFont="1" applyBorder="1" applyAlignment="1">
      <alignment/>
    </xf>
    <xf numFmtId="43" fontId="6" fillId="0" borderId="23" xfId="36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43" fontId="6" fillId="0" borderId="26" xfId="36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43" fontId="6" fillId="0" borderId="29" xfId="36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43" fontId="6" fillId="0" borderId="32" xfId="36" applyFont="1" applyBorder="1" applyAlignment="1">
      <alignment/>
    </xf>
    <xf numFmtId="0" fontId="7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12" xfId="0" applyFont="1" applyBorder="1" applyAlignment="1">
      <alignment/>
    </xf>
    <xf numFmtId="43" fontId="7" fillId="0" borderId="11" xfId="36" applyFont="1" applyFill="1" applyBorder="1" applyAlignment="1">
      <alignment/>
    </xf>
    <xf numFmtId="0" fontId="9" fillId="0" borderId="0" xfId="0" applyFont="1" applyAlignment="1">
      <alignment/>
    </xf>
    <xf numFmtId="43" fontId="9" fillId="0" borderId="11" xfId="36" applyFont="1" applyBorder="1" applyAlignment="1">
      <alignment/>
    </xf>
    <xf numFmtId="0" fontId="9" fillId="0" borderId="26" xfId="0" applyFont="1" applyBorder="1" applyAlignment="1">
      <alignment/>
    </xf>
    <xf numFmtId="43" fontId="9" fillId="0" borderId="32" xfId="36" applyFont="1" applyBorder="1" applyAlignment="1">
      <alignment/>
    </xf>
    <xf numFmtId="43" fontId="8" fillId="0" borderId="26" xfId="36" applyFont="1" applyBorder="1" applyAlignment="1">
      <alignment/>
    </xf>
    <xf numFmtId="43" fontId="9" fillId="0" borderId="26" xfId="36" applyFont="1" applyBorder="1" applyAlignment="1">
      <alignment/>
    </xf>
    <xf numFmtId="43" fontId="6" fillId="0" borderId="33" xfId="36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187" fontId="6" fillId="0" borderId="18" xfId="0" applyNumberFormat="1" applyFont="1" applyBorder="1" applyAlignment="1" quotePrefix="1">
      <alignment horizontal="center"/>
    </xf>
    <xf numFmtId="43" fontId="6" fillId="0" borderId="18" xfId="36" applyFont="1" applyBorder="1" applyAlignment="1">
      <alignment horizontal="right"/>
    </xf>
    <xf numFmtId="0" fontId="6" fillId="0" borderId="18" xfId="0" applyFont="1" applyBorder="1" applyAlignment="1" quotePrefix="1">
      <alignment horizontal="center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3" fontId="7" fillId="0" borderId="34" xfId="36" applyFont="1" applyBorder="1" applyAlignment="1">
      <alignment vertical="center"/>
    </xf>
    <xf numFmtId="43" fontId="7" fillId="0" borderId="0" xfId="36" applyFont="1" applyBorder="1" applyAlignment="1">
      <alignment vertical="center"/>
    </xf>
    <xf numFmtId="0" fontId="6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10" fillId="0" borderId="0" xfId="0" applyFont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NumberFormat="1" applyFont="1" applyFill="1" applyBorder="1" applyAlignment="1">
      <alignment/>
    </xf>
    <xf numFmtId="0" fontId="6" fillId="0" borderId="39" xfId="0" applyNumberFormat="1" applyFont="1" applyFill="1" applyBorder="1" applyAlignment="1">
      <alignment/>
    </xf>
    <xf numFmtId="43" fontId="11" fillId="0" borderId="18" xfId="36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43" fontId="6" fillId="0" borderId="18" xfId="36" applyFont="1" applyFill="1" applyBorder="1" applyAlignment="1">
      <alignment/>
    </xf>
    <xf numFmtId="43" fontId="7" fillId="0" borderId="34" xfId="36" applyFont="1" applyBorder="1" applyAlignment="1">
      <alignment/>
    </xf>
    <xf numFmtId="43" fontId="6" fillId="0" borderId="0" xfId="36" applyFont="1" applyBorder="1" applyAlignment="1">
      <alignment/>
    </xf>
    <xf numFmtId="43" fontId="6" fillId="0" borderId="29" xfId="36" applyFont="1" applyFill="1" applyBorder="1" applyAlignment="1">
      <alignment/>
    </xf>
    <xf numFmtId="0" fontId="6" fillId="0" borderId="40" xfId="0" applyFont="1" applyBorder="1" applyAlignment="1">
      <alignment/>
    </xf>
    <xf numFmtId="43" fontId="6" fillId="0" borderId="17" xfId="36" applyFont="1" applyBorder="1" applyAlignment="1">
      <alignment/>
    </xf>
    <xf numFmtId="43" fontId="11" fillId="0" borderId="18" xfId="36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8" xfId="0" applyFont="1" applyBorder="1" applyAlignment="1">
      <alignment/>
    </xf>
    <xf numFmtId="43" fontId="6" fillId="0" borderId="41" xfId="36" applyFont="1" applyBorder="1" applyAlignment="1">
      <alignment/>
    </xf>
    <xf numFmtId="43" fontId="6" fillId="0" borderId="18" xfId="0" applyNumberFormat="1" applyFont="1" applyBorder="1" applyAlignment="1">
      <alignment/>
    </xf>
    <xf numFmtId="43" fontId="7" fillId="0" borderId="34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43" fontId="6" fillId="0" borderId="18" xfId="36" applyNumberFormat="1" applyFont="1" applyBorder="1" applyAlignment="1">
      <alignment/>
    </xf>
    <xf numFmtId="43" fontId="3" fillId="0" borderId="0" xfId="36" applyFont="1" applyAlignment="1">
      <alignment/>
    </xf>
    <xf numFmtId="43" fontId="3" fillId="0" borderId="0" xfId="36" applyFont="1" applyBorder="1" applyAlignment="1">
      <alignment/>
    </xf>
    <xf numFmtId="43" fontId="3" fillId="0" borderId="4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4" fillId="0" borderId="29" xfId="36" applyFont="1" applyFill="1" applyBorder="1" applyAlignment="1">
      <alignment/>
    </xf>
    <xf numFmtId="43" fontId="54" fillId="0" borderId="32" xfId="36" applyFont="1" applyFill="1" applyBorder="1" applyAlignment="1">
      <alignment/>
    </xf>
    <xf numFmtId="0" fontId="3" fillId="0" borderId="0" xfId="0" applyFont="1" applyBorder="1" applyAlignment="1">
      <alignment horizontal="center"/>
    </xf>
    <xf numFmtId="43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3" fontId="6" fillId="0" borderId="33" xfId="36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 horizontal="center"/>
    </xf>
    <xf numFmtId="43" fontId="4" fillId="0" borderId="15" xfId="36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8" xfId="36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5" xfId="0" applyFont="1" applyBorder="1" applyAlignment="1">
      <alignment/>
    </xf>
    <xf numFmtId="43" fontId="4" fillId="0" borderId="23" xfId="36" applyFont="1" applyBorder="1" applyAlignment="1">
      <alignment/>
    </xf>
    <xf numFmtId="43" fontId="3" fillId="0" borderId="34" xfId="36" applyFont="1" applyBorder="1" applyAlignment="1">
      <alignment/>
    </xf>
    <xf numFmtId="17" fontId="3" fillId="0" borderId="0" xfId="36" applyNumberFormat="1" applyFont="1" applyAlignment="1">
      <alignment/>
    </xf>
    <xf numFmtId="0" fontId="3" fillId="0" borderId="1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20" xfId="0" applyFont="1" applyBorder="1" applyAlignment="1">
      <alignment horizontal="center"/>
    </xf>
    <xf numFmtId="43" fontId="4" fillId="0" borderId="15" xfId="36" applyFont="1" applyBorder="1" applyAlignment="1">
      <alignment/>
    </xf>
    <xf numFmtId="0" fontId="4" fillId="0" borderId="16" xfId="0" applyFont="1" applyBorder="1" applyAlignment="1">
      <alignment/>
    </xf>
    <xf numFmtId="43" fontId="4" fillId="0" borderId="18" xfId="36" applyFont="1" applyBorder="1" applyAlignment="1">
      <alignment/>
    </xf>
    <xf numFmtId="0" fontId="4" fillId="0" borderId="16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23" xfId="0" applyFont="1" applyBorder="1" applyAlignment="1">
      <alignment/>
    </xf>
    <xf numFmtId="43" fontId="3" fillId="0" borderId="43" xfId="36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3" fontId="7" fillId="0" borderId="0" xfId="36" applyFont="1" applyAlignment="1">
      <alignment/>
    </xf>
    <xf numFmtId="0" fontId="55" fillId="0" borderId="0" xfId="0" applyFont="1" applyAlignment="1">
      <alignment/>
    </xf>
    <xf numFmtId="43" fontId="55" fillId="0" borderId="0" xfId="36" applyFont="1" applyAlignment="1">
      <alignment/>
    </xf>
    <xf numFmtId="43" fontId="56" fillId="0" borderId="0" xfId="36" applyFont="1" applyAlignment="1">
      <alignment/>
    </xf>
    <xf numFmtId="0" fontId="6" fillId="0" borderId="1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6" fillId="0" borderId="11" xfId="36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5" xfId="0" applyFont="1" applyBorder="1" applyAlignment="1">
      <alignment/>
    </xf>
    <xf numFmtId="43" fontId="6" fillId="0" borderId="0" xfId="0" applyNumberFormat="1" applyFont="1" applyAlignment="1">
      <alignment/>
    </xf>
    <xf numFmtId="43" fontId="6" fillId="33" borderId="11" xfId="36" applyFont="1" applyFill="1" applyBorder="1" applyAlignment="1">
      <alignment/>
    </xf>
    <xf numFmtId="43" fontId="6" fillId="0" borderId="0" xfId="36" applyFont="1" applyFill="1" applyAlignment="1">
      <alignment/>
    </xf>
    <xf numFmtId="43" fontId="7" fillId="0" borderId="0" xfId="36" applyFont="1" applyFill="1" applyAlignment="1">
      <alignment/>
    </xf>
    <xf numFmtId="43" fontId="0" fillId="0" borderId="0" xfId="0" applyNumberFormat="1" applyAlignment="1">
      <alignment/>
    </xf>
    <xf numFmtId="43" fontId="11" fillId="0" borderId="0" xfId="36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4" fillId="0" borderId="23" xfId="36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57" fillId="0" borderId="0" xfId="36" applyFont="1" applyFill="1" applyAlignment="1">
      <alignment/>
    </xf>
    <xf numFmtId="0" fontId="7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3" fontId="7" fillId="0" borderId="29" xfId="36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43" fontId="7" fillId="0" borderId="33" xfId="36" applyFont="1" applyFill="1" applyBorder="1" applyAlignment="1">
      <alignment/>
    </xf>
    <xf numFmtId="43" fontId="7" fillId="0" borderId="32" xfId="36" applyFont="1" applyFill="1" applyBorder="1" applyAlignment="1">
      <alignment/>
    </xf>
    <xf numFmtId="43" fontId="6" fillId="0" borderId="26" xfId="36" applyFont="1" applyFill="1" applyBorder="1" applyAlignment="1">
      <alignment/>
    </xf>
    <xf numFmtId="43" fontId="7" fillId="0" borderId="26" xfId="36" applyFont="1" applyFill="1" applyBorder="1" applyAlignment="1">
      <alignment/>
    </xf>
    <xf numFmtId="0" fontId="6" fillId="0" borderId="38" xfId="0" applyFont="1" applyFill="1" applyBorder="1" applyAlignment="1">
      <alignment horizontal="left"/>
    </xf>
    <xf numFmtId="43" fontId="6" fillId="0" borderId="11" xfId="36" applyFont="1" applyFill="1" applyBorder="1" applyAlignment="1">
      <alignment horizontal="center"/>
    </xf>
    <xf numFmtId="43" fontId="54" fillId="0" borderId="11" xfId="36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3" fontId="6" fillId="0" borderId="18" xfId="36" applyFont="1" applyBorder="1" applyAlignment="1">
      <alignment vertical="center"/>
    </xf>
    <xf numFmtId="0" fontId="6" fillId="0" borderId="18" xfId="0" applyFont="1" applyBorder="1" applyAlignment="1">
      <alignment/>
    </xf>
    <xf numFmtId="43" fontId="6" fillId="0" borderId="34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7" fillId="10" borderId="11" xfId="36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3" fontId="6" fillId="0" borderId="0" xfId="0" applyNumberFormat="1" applyFont="1" applyFill="1" applyAlignment="1">
      <alignment/>
    </xf>
    <xf numFmtId="0" fontId="6" fillId="12" borderId="0" xfId="0" applyFont="1" applyFill="1" applyAlignment="1">
      <alignment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4" borderId="22" xfId="0" applyFont="1" applyFill="1" applyBorder="1" applyAlignment="1">
      <alignment/>
    </xf>
    <xf numFmtId="43" fontId="6" fillId="4" borderId="11" xfId="36" applyFont="1" applyFill="1" applyBorder="1" applyAlignment="1">
      <alignment/>
    </xf>
    <xf numFmtId="0" fontId="6" fillId="4" borderId="0" xfId="0" applyFont="1" applyFill="1" applyAlignment="1">
      <alignment/>
    </xf>
    <xf numFmtId="43" fontId="6" fillId="4" borderId="0" xfId="36" applyFont="1" applyFill="1" applyAlignment="1">
      <alignment/>
    </xf>
    <xf numFmtId="43" fontId="6" fillId="0" borderId="34" xfId="36" applyFont="1" applyBorder="1" applyAlignment="1">
      <alignment/>
    </xf>
    <xf numFmtId="43" fontId="7" fillId="4" borderId="11" xfId="36" applyFont="1" applyFill="1" applyBorder="1" applyAlignment="1">
      <alignment/>
    </xf>
    <xf numFmtId="43" fontId="7" fillId="9" borderId="11" xfId="36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3" fontId="3" fillId="0" borderId="11" xfId="36" applyFont="1" applyBorder="1" applyAlignment="1">
      <alignment horizontal="center"/>
    </xf>
    <xf numFmtId="43" fontId="4" fillId="0" borderId="16" xfId="36" applyFont="1" applyBorder="1" applyAlignment="1">
      <alignment/>
    </xf>
    <xf numFmtId="43" fontId="4" fillId="0" borderId="35" xfId="36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3" fontId="7" fillId="15" borderId="11" xfId="36" applyFont="1" applyFill="1" applyBorder="1" applyAlignment="1">
      <alignment/>
    </xf>
    <xf numFmtId="43" fontId="6" fillId="15" borderId="0" xfId="36" applyFont="1" applyFill="1" applyAlignment="1">
      <alignment/>
    </xf>
    <xf numFmtId="0" fontId="6" fillId="15" borderId="0" xfId="0" applyFont="1" applyFill="1" applyAlignment="1">
      <alignment/>
    </xf>
    <xf numFmtId="43" fontId="6" fillId="9" borderId="11" xfId="36" applyFont="1" applyFill="1" applyBorder="1" applyAlignment="1">
      <alignment/>
    </xf>
    <xf numFmtId="43" fontId="6" fillId="9" borderId="0" xfId="36" applyFont="1" applyFill="1" applyAlignment="1">
      <alignment/>
    </xf>
    <xf numFmtId="0" fontId="6" fillId="9" borderId="0" xfId="0" applyFont="1" applyFill="1" applyAlignment="1">
      <alignment/>
    </xf>
    <xf numFmtId="0" fontId="6" fillId="4" borderId="12" xfId="0" applyFont="1" applyFill="1" applyBorder="1" applyAlignment="1">
      <alignment horizontal="left"/>
    </xf>
    <xf numFmtId="0" fontId="7" fillId="10" borderId="12" xfId="0" applyFont="1" applyFill="1" applyBorder="1" applyAlignment="1">
      <alignment/>
    </xf>
    <xf numFmtId="0" fontId="7" fillId="10" borderId="22" xfId="0" applyFont="1" applyFill="1" applyBorder="1" applyAlignment="1">
      <alignment/>
    </xf>
    <xf numFmtId="43" fontId="6" fillId="10" borderId="11" xfId="36" applyFont="1" applyFill="1" applyBorder="1" applyAlignment="1">
      <alignment/>
    </xf>
    <xf numFmtId="43" fontId="7" fillId="10" borderId="0" xfId="36" applyFont="1" applyFill="1" applyAlignment="1">
      <alignment/>
    </xf>
    <xf numFmtId="0" fontId="7" fillId="10" borderId="0" xfId="0" applyFont="1" applyFill="1" applyAlignment="1">
      <alignment/>
    </xf>
    <xf numFmtId="43" fontId="6" fillId="12" borderId="0" xfId="36" applyFont="1" applyFill="1" applyAlignment="1">
      <alignment/>
    </xf>
    <xf numFmtId="43" fontId="7" fillId="12" borderId="11" xfId="36" applyFont="1" applyFill="1" applyBorder="1" applyAlignment="1">
      <alignment horizontal="center"/>
    </xf>
    <xf numFmtId="43" fontId="6" fillId="12" borderId="11" xfId="36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6" fillId="0" borderId="37" xfId="36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54" fillId="0" borderId="33" xfId="36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44" xfId="36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3" fontId="3" fillId="0" borderId="11" xfId="36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187" fontId="4" fillId="0" borderId="18" xfId="0" applyNumberFormat="1" applyFont="1" applyBorder="1" applyAlignment="1" quotePrefix="1">
      <alignment horizontal="center"/>
    </xf>
    <xf numFmtId="43" fontId="4" fillId="0" borderId="18" xfId="36" applyFont="1" applyBorder="1" applyAlignment="1">
      <alignment horizontal="right"/>
    </xf>
    <xf numFmtId="0" fontId="4" fillId="0" borderId="18" xfId="0" applyFont="1" applyBorder="1" applyAlignment="1" quotePrefix="1">
      <alignment horizontal="center"/>
    </xf>
    <xf numFmtId="0" fontId="4" fillId="0" borderId="0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23" xfId="0" applyFont="1" applyBorder="1" applyAlignment="1" quotePrefix="1">
      <alignment horizontal="center"/>
    </xf>
    <xf numFmtId="43" fontId="4" fillId="0" borderId="23" xfId="36" applyFont="1" applyBorder="1" applyAlignment="1">
      <alignment horizontal="right"/>
    </xf>
    <xf numFmtId="0" fontId="4" fillId="0" borderId="21" xfId="0" applyFont="1" applyBorder="1" applyAlignment="1" quotePrefix="1">
      <alignment horizontal="center"/>
    </xf>
    <xf numFmtId="43" fontId="4" fillId="0" borderId="34" xfId="36" applyFont="1" applyBorder="1" applyAlignment="1">
      <alignment/>
    </xf>
    <xf numFmtId="0" fontId="4" fillId="0" borderId="0" xfId="0" applyFont="1" applyBorder="1" applyAlignment="1" quotePrefix="1">
      <alignment horizontal="center"/>
    </xf>
    <xf numFmtId="43" fontId="4" fillId="0" borderId="0" xfId="36" applyFont="1" applyBorder="1" applyAlignment="1">
      <alignment horizontal="right"/>
    </xf>
    <xf numFmtId="43" fontId="4" fillId="0" borderId="0" xfId="36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16" borderId="19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43" fontId="7" fillId="16" borderId="15" xfId="36" applyFont="1" applyFill="1" applyBorder="1" applyAlignment="1">
      <alignment/>
    </xf>
    <xf numFmtId="43" fontId="6" fillId="16" borderId="15" xfId="36" applyFont="1" applyFill="1" applyBorder="1" applyAlignment="1">
      <alignment/>
    </xf>
    <xf numFmtId="43" fontId="7" fillId="16" borderId="0" xfId="36" applyFont="1" applyFill="1" applyBorder="1" applyAlignment="1">
      <alignment/>
    </xf>
    <xf numFmtId="0" fontId="7" fillId="16" borderId="0" xfId="0" applyFont="1" applyFill="1" applyBorder="1" applyAlignment="1">
      <alignment/>
    </xf>
    <xf numFmtId="0" fontId="7" fillId="16" borderId="13" xfId="0" applyFont="1" applyFill="1" applyBorder="1" applyAlignment="1">
      <alignment/>
    </xf>
    <xf numFmtId="0" fontId="7" fillId="16" borderId="35" xfId="0" applyFont="1" applyFill="1" applyBorder="1" applyAlignment="1">
      <alignment/>
    </xf>
    <xf numFmtId="43" fontId="7" fillId="16" borderId="23" xfId="36" applyFont="1" applyFill="1" applyBorder="1" applyAlignment="1">
      <alignment/>
    </xf>
    <xf numFmtId="43" fontId="6" fillId="16" borderId="23" xfId="36" applyFont="1" applyFill="1" applyBorder="1" applyAlignment="1">
      <alignment/>
    </xf>
    <xf numFmtId="0" fontId="7" fillId="16" borderId="12" xfId="0" applyFont="1" applyFill="1" applyBorder="1" applyAlignment="1">
      <alignment/>
    </xf>
    <xf numFmtId="0" fontId="7" fillId="16" borderId="22" xfId="0" applyFont="1" applyFill="1" applyBorder="1" applyAlignment="1">
      <alignment/>
    </xf>
    <xf numFmtId="43" fontId="7" fillId="16" borderId="11" xfId="36" applyFont="1" applyFill="1" applyBorder="1" applyAlignment="1">
      <alignment/>
    </xf>
    <xf numFmtId="43" fontId="6" fillId="16" borderId="11" xfId="36" applyFont="1" applyFill="1" applyBorder="1" applyAlignment="1">
      <alignment/>
    </xf>
    <xf numFmtId="43" fontId="7" fillId="16" borderId="0" xfId="36" applyFont="1" applyFill="1" applyAlignment="1">
      <alignment/>
    </xf>
    <xf numFmtId="0" fontId="7" fillId="16" borderId="0" xfId="0" applyFont="1" applyFill="1" applyAlignment="1">
      <alignment/>
    </xf>
    <xf numFmtId="43" fontId="6" fillId="16" borderId="0" xfId="36" applyFont="1" applyFill="1" applyAlignment="1">
      <alignment/>
    </xf>
    <xf numFmtId="0" fontId="6" fillId="16" borderId="0" xfId="0" applyFont="1" applyFill="1" applyAlignment="1">
      <alignment/>
    </xf>
    <xf numFmtId="0" fontId="7" fillId="16" borderId="12" xfId="0" applyFont="1" applyFill="1" applyBorder="1" applyAlignment="1">
      <alignment/>
    </xf>
    <xf numFmtId="0" fontId="7" fillId="16" borderId="22" xfId="0" applyFont="1" applyFill="1" applyBorder="1" applyAlignment="1">
      <alignment horizontal="center"/>
    </xf>
    <xf numFmtId="0" fontId="6" fillId="0" borderId="4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43" fontId="3" fillId="0" borderId="18" xfId="36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3" fontId="4" fillId="0" borderId="18" xfId="36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3" fontId="3" fillId="0" borderId="20" xfId="36" applyFont="1" applyBorder="1" applyAlignment="1">
      <alignment/>
    </xf>
    <xf numFmtId="43" fontId="3" fillId="0" borderId="35" xfId="36" applyFont="1" applyBorder="1" applyAlignment="1">
      <alignment/>
    </xf>
    <xf numFmtId="43" fontId="3" fillId="0" borderId="15" xfId="36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34" xfId="0" applyFont="1" applyFill="1" applyBorder="1" applyAlignment="1">
      <alignment/>
    </xf>
    <xf numFmtId="43" fontId="3" fillId="0" borderId="34" xfId="36" applyFont="1" applyFill="1" applyBorder="1" applyAlignment="1">
      <alignment/>
    </xf>
    <xf numFmtId="0" fontId="7" fillId="0" borderId="48" xfId="0" applyFont="1" applyFill="1" applyBorder="1" applyAlignment="1">
      <alignment/>
    </xf>
    <xf numFmtId="43" fontId="6" fillId="0" borderId="38" xfId="36" applyFont="1" applyFill="1" applyBorder="1" applyAlignment="1">
      <alignment/>
    </xf>
    <xf numFmtId="43" fontId="6" fillId="0" borderId="39" xfId="36" applyFont="1" applyFill="1" applyBorder="1" applyAlignment="1">
      <alignment/>
    </xf>
    <xf numFmtId="43" fontId="7" fillId="0" borderId="38" xfId="36" applyFont="1" applyFill="1" applyBorder="1" applyAlignment="1">
      <alignment/>
    </xf>
    <xf numFmtId="43" fontId="6" fillId="0" borderId="48" xfId="36" applyFont="1" applyFill="1" applyBorder="1" applyAlignment="1">
      <alignment/>
    </xf>
    <xf numFmtId="43" fontId="7" fillId="0" borderId="49" xfId="36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49" xfId="0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16" borderId="0" xfId="0" applyFont="1" applyFill="1" applyAlignment="1">
      <alignment/>
    </xf>
    <xf numFmtId="43" fontId="57" fillId="16" borderId="0" xfId="36" applyFont="1" applyFill="1" applyAlignment="1">
      <alignment/>
    </xf>
    <xf numFmtId="0" fontId="7" fillId="16" borderId="35" xfId="0" applyFont="1" applyFill="1" applyBorder="1" applyAlignment="1">
      <alignment/>
    </xf>
    <xf numFmtId="0" fontId="7" fillId="16" borderId="11" xfId="0" applyFont="1" applyFill="1" applyBorder="1" applyAlignment="1" quotePrefix="1">
      <alignment horizontal="center"/>
    </xf>
    <xf numFmtId="0" fontId="7" fillId="16" borderId="49" xfId="0" applyFont="1" applyFill="1" applyBorder="1" applyAlignment="1" quotePrefix="1">
      <alignment horizontal="center"/>
    </xf>
    <xf numFmtId="0" fontId="7" fillId="16" borderId="26" xfId="0" applyFont="1" applyFill="1" applyBorder="1" applyAlignment="1">
      <alignment/>
    </xf>
    <xf numFmtId="0" fontId="7" fillId="16" borderId="48" xfId="0" applyFont="1" applyFill="1" applyBorder="1" applyAlignment="1">
      <alignment/>
    </xf>
    <xf numFmtId="0" fontId="6" fillId="16" borderId="27" xfId="0" applyFont="1" applyFill="1" applyBorder="1" applyAlignment="1">
      <alignment horizontal="center"/>
    </xf>
    <xf numFmtId="0" fontId="6" fillId="16" borderId="38" xfId="0" applyFont="1" applyFill="1" applyBorder="1" applyAlignment="1">
      <alignment/>
    </xf>
    <xf numFmtId="43" fontId="6" fillId="16" borderId="29" xfId="36" applyFont="1" applyFill="1" applyBorder="1" applyAlignment="1">
      <alignment/>
    </xf>
    <xf numFmtId="43" fontId="6" fillId="16" borderId="38" xfId="36" applyFont="1" applyFill="1" applyBorder="1" applyAlignment="1">
      <alignment/>
    </xf>
    <xf numFmtId="43" fontId="7" fillId="16" borderId="29" xfId="36" applyFont="1" applyFill="1" applyBorder="1" applyAlignment="1">
      <alignment/>
    </xf>
    <xf numFmtId="0" fontId="6" fillId="16" borderId="36" xfId="0" applyFont="1" applyFill="1" applyBorder="1" applyAlignment="1">
      <alignment horizontal="center"/>
    </xf>
    <xf numFmtId="0" fontId="6" fillId="16" borderId="39" xfId="0" applyFont="1" applyFill="1" applyBorder="1" applyAlignment="1">
      <alignment/>
    </xf>
    <xf numFmtId="43" fontId="6" fillId="16" borderId="33" xfId="36" applyFont="1" applyFill="1" applyBorder="1" applyAlignment="1">
      <alignment/>
    </xf>
    <xf numFmtId="43" fontId="6" fillId="16" borderId="39" xfId="36" applyFont="1" applyFill="1" applyBorder="1" applyAlignment="1">
      <alignment/>
    </xf>
    <xf numFmtId="43" fontId="7" fillId="16" borderId="33" xfId="36" applyFont="1" applyFill="1" applyBorder="1" applyAlignment="1">
      <alignment/>
    </xf>
    <xf numFmtId="43" fontId="7" fillId="16" borderId="38" xfId="36" applyFont="1" applyFill="1" applyBorder="1" applyAlignment="1">
      <alignment/>
    </xf>
    <xf numFmtId="43" fontId="7" fillId="16" borderId="32" xfId="36" applyFont="1" applyFill="1" applyBorder="1" applyAlignment="1">
      <alignment/>
    </xf>
    <xf numFmtId="43" fontId="7" fillId="16" borderId="50" xfId="36" applyFont="1" applyFill="1" applyBorder="1" applyAlignment="1">
      <alignment/>
    </xf>
    <xf numFmtId="43" fontId="6" fillId="16" borderId="26" xfId="36" applyFont="1" applyFill="1" applyBorder="1" applyAlignment="1">
      <alignment/>
    </xf>
    <xf numFmtId="43" fontId="6" fillId="16" borderId="48" xfId="36" applyFont="1" applyFill="1" applyBorder="1" applyAlignment="1">
      <alignment/>
    </xf>
    <xf numFmtId="43" fontId="7" fillId="16" borderId="26" xfId="36" applyFont="1" applyFill="1" applyBorder="1" applyAlignment="1">
      <alignment/>
    </xf>
    <xf numFmtId="0" fontId="6" fillId="16" borderId="38" xfId="0" applyNumberFormat="1" applyFont="1" applyFill="1" applyBorder="1" applyAlignment="1">
      <alignment/>
    </xf>
    <xf numFmtId="0" fontId="6" fillId="16" borderId="39" xfId="0" applyNumberFormat="1" applyFont="1" applyFill="1" applyBorder="1" applyAlignment="1">
      <alignment/>
    </xf>
    <xf numFmtId="43" fontId="54" fillId="16" borderId="29" xfId="36" applyFont="1" applyFill="1" applyBorder="1" applyAlignment="1">
      <alignment/>
    </xf>
    <xf numFmtId="43" fontId="54" fillId="16" borderId="33" xfId="36" applyFont="1" applyFill="1" applyBorder="1" applyAlignment="1">
      <alignment/>
    </xf>
    <xf numFmtId="43" fontId="6" fillId="16" borderId="0" xfId="0" applyNumberFormat="1" applyFont="1" applyFill="1" applyAlignment="1">
      <alignment/>
    </xf>
    <xf numFmtId="0" fontId="6" fillId="16" borderId="38" xfId="0" applyFont="1" applyFill="1" applyBorder="1" applyAlignment="1">
      <alignment horizontal="left"/>
    </xf>
    <xf numFmtId="43" fontId="7" fillId="16" borderId="49" xfId="36" applyFont="1" applyFill="1" applyBorder="1" applyAlignment="1">
      <alignment/>
    </xf>
    <xf numFmtId="0" fontId="54" fillId="16" borderId="0" xfId="0" applyFont="1" applyFill="1" applyAlignment="1">
      <alignment horizontal="center"/>
    </xf>
    <xf numFmtId="43" fontId="55" fillId="16" borderId="0" xfId="0" applyNumberFormat="1" applyFont="1" applyFill="1" applyAlignment="1">
      <alignment/>
    </xf>
    <xf numFmtId="43" fontId="7" fillId="16" borderId="21" xfId="36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0" borderId="49" xfId="0" applyFont="1" applyFill="1" applyBorder="1" applyAlignment="1" quotePrefix="1">
      <alignment horizontal="center"/>
    </xf>
    <xf numFmtId="43" fontId="6" fillId="34" borderId="11" xfId="36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49" xfId="0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0" borderId="49" xfId="0" applyFont="1" applyFill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3" fontId="54" fillId="0" borderId="11" xfId="36" applyFont="1" applyBorder="1" applyAlignment="1">
      <alignment/>
    </xf>
    <xf numFmtId="43" fontId="56" fillId="0" borderId="11" xfId="36" applyFont="1" applyBorder="1" applyAlignment="1">
      <alignment/>
    </xf>
    <xf numFmtId="43" fontId="54" fillId="0" borderId="26" xfId="36" applyFont="1" applyBorder="1" applyAlignment="1">
      <alignment/>
    </xf>
    <xf numFmtId="43" fontId="54" fillId="0" borderId="29" xfId="36" applyFont="1" applyBorder="1" applyAlignment="1">
      <alignment/>
    </xf>
    <xf numFmtId="43" fontId="54" fillId="0" borderId="32" xfId="36" applyFont="1" applyBorder="1" applyAlignment="1">
      <alignment/>
    </xf>
    <xf numFmtId="43" fontId="56" fillId="16" borderId="15" xfId="36" applyFont="1" applyFill="1" applyBorder="1" applyAlignment="1">
      <alignment/>
    </xf>
    <xf numFmtId="43" fontId="56" fillId="16" borderId="23" xfId="36" applyFont="1" applyFill="1" applyBorder="1" applyAlignment="1">
      <alignment/>
    </xf>
    <xf numFmtId="43" fontId="56" fillId="16" borderId="11" xfId="36" applyFont="1" applyFill="1" applyBorder="1" applyAlignment="1">
      <alignment/>
    </xf>
    <xf numFmtId="43" fontId="54" fillId="0" borderId="44" xfId="36" applyFont="1" applyBorder="1" applyAlignment="1">
      <alignment/>
    </xf>
    <xf numFmtId="43" fontId="54" fillId="0" borderId="33" xfId="36" applyFont="1" applyBorder="1" applyAlignment="1">
      <alignment/>
    </xf>
    <xf numFmtId="43" fontId="56" fillId="4" borderId="11" xfId="36" applyFont="1" applyFill="1" applyBorder="1" applyAlignment="1">
      <alignment/>
    </xf>
    <xf numFmtId="43" fontId="56" fillId="0" borderId="11" xfId="36" applyFont="1" applyFill="1" applyBorder="1" applyAlignment="1">
      <alignment/>
    </xf>
    <xf numFmtId="43" fontId="56" fillId="0" borderId="11" xfId="36" applyFont="1" applyFill="1" applyBorder="1" applyAlignment="1">
      <alignment horizontal="center"/>
    </xf>
    <xf numFmtId="43" fontId="54" fillId="0" borderId="0" xfId="36" applyNumberFormat="1" applyFont="1" applyAlignment="1">
      <alignment/>
    </xf>
    <xf numFmtId="43" fontId="54" fillId="0" borderId="0" xfId="36" applyFont="1" applyAlignment="1">
      <alignment/>
    </xf>
    <xf numFmtId="0" fontId="3" fillId="0" borderId="0" xfId="0" applyFont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3" fillId="0" borderId="46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0" borderId="49" xfId="0" applyFont="1" applyFill="1" applyBorder="1" applyAlignment="1" quotePrefix="1">
      <alignment horizontal="center"/>
    </xf>
    <xf numFmtId="43" fontId="56" fillId="0" borderId="0" xfId="36" applyFont="1" applyAlignment="1">
      <alignment horizontal="center"/>
    </xf>
    <xf numFmtId="43" fontId="7" fillId="0" borderId="0" xfId="36" applyFont="1" applyBorder="1" applyAlignment="1">
      <alignment/>
    </xf>
    <xf numFmtId="43" fontId="11" fillId="0" borderId="0" xfId="36" applyFont="1" applyBorder="1" applyAlignment="1">
      <alignment/>
    </xf>
    <xf numFmtId="43" fontId="6" fillId="0" borderId="0" xfId="0" applyNumberFormat="1" applyFont="1" applyBorder="1" applyAlignment="1">
      <alignment/>
    </xf>
    <xf numFmtId="43" fontId="11" fillId="0" borderId="16" xfId="36" applyFont="1" applyBorder="1" applyAlignment="1">
      <alignment/>
    </xf>
    <xf numFmtId="43" fontId="11" fillId="0" borderId="16" xfId="36" applyFont="1" applyBorder="1" applyAlignment="1">
      <alignment/>
    </xf>
    <xf numFmtId="43" fontId="6" fillId="0" borderId="16" xfId="36" applyFont="1" applyBorder="1" applyAlignment="1">
      <alignment/>
    </xf>
    <xf numFmtId="43" fontId="56" fillId="0" borderId="10" xfId="36" applyFont="1" applyBorder="1" applyAlignment="1">
      <alignment/>
    </xf>
    <xf numFmtId="0" fontId="56" fillId="0" borderId="0" xfId="0" applyFont="1" applyAlignment="1">
      <alignment horizontal="center"/>
    </xf>
    <xf numFmtId="43" fontId="56" fillId="0" borderId="0" xfId="0" applyNumberFormat="1" applyFont="1" applyAlignment="1">
      <alignment/>
    </xf>
    <xf numFmtId="43" fontId="58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43" fontId="3" fillId="0" borderId="0" xfId="36" applyFont="1" applyBorder="1" applyAlignment="1">
      <alignment horizontal="right"/>
    </xf>
    <xf numFmtId="43" fontId="4" fillId="0" borderId="35" xfId="36" applyFont="1" applyBorder="1" applyAlignment="1">
      <alignment/>
    </xf>
    <xf numFmtId="43" fontId="4" fillId="0" borderId="15" xfId="36" applyNumberFormat="1" applyFont="1" applyBorder="1" applyAlignment="1">
      <alignment/>
    </xf>
    <xf numFmtId="43" fontId="4" fillId="0" borderId="18" xfId="36" applyNumberFormat="1" applyFont="1" applyBorder="1" applyAlignment="1">
      <alignment/>
    </xf>
    <xf numFmtId="43" fontId="4" fillId="0" borderId="17" xfId="36" applyNumberFormat="1" applyFont="1" applyBorder="1" applyAlignment="1">
      <alignment/>
    </xf>
    <xf numFmtId="43" fontId="4" fillId="0" borderId="17" xfId="36" applyFont="1" applyBorder="1" applyAlignment="1">
      <alignment/>
    </xf>
    <xf numFmtId="17" fontId="3" fillId="0" borderId="17" xfId="36" applyNumberFormat="1" applyFont="1" applyBorder="1" applyAlignment="1">
      <alignment/>
    </xf>
    <xf numFmtId="43" fontId="3" fillId="0" borderId="17" xfId="36" applyFont="1" applyBorder="1" applyAlignment="1">
      <alignment horizontal="center"/>
    </xf>
    <xf numFmtId="43" fontId="4" fillId="0" borderId="14" xfId="36" applyFont="1" applyBorder="1" applyAlignment="1">
      <alignment/>
    </xf>
    <xf numFmtId="43" fontId="3" fillId="0" borderId="0" xfId="36" applyFont="1" applyAlignment="1">
      <alignment horizontal="right"/>
    </xf>
    <xf numFmtId="43" fontId="3" fillId="0" borderId="18" xfId="36" applyFont="1" applyBorder="1" applyAlignment="1">
      <alignment horizontal="center"/>
    </xf>
    <xf numFmtId="49" fontId="3" fillId="0" borderId="0" xfId="36" applyNumberFormat="1" applyFont="1" applyAlignment="1">
      <alignment/>
    </xf>
    <xf numFmtId="43" fontId="6" fillId="0" borderId="0" xfId="36" applyFont="1" applyBorder="1" applyAlignment="1">
      <alignment vertical="center"/>
    </xf>
    <xf numFmtId="0" fontId="6" fillId="0" borderId="0" xfId="0" applyFont="1" applyAlignment="1">
      <alignment/>
    </xf>
    <xf numFmtId="43" fontId="6" fillId="0" borderId="18" xfId="36" applyFont="1" applyFill="1" applyBorder="1" applyAlignment="1">
      <alignment horizontal="right"/>
    </xf>
    <xf numFmtId="0" fontId="7" fillId="0" borderId="0" xfId="0" applyFont="1" applyBorder="1" applyAlignment="1">
      <alignment horizontal="left" indent="5"/>
    </xf>
    <xf numFmtId="43" fontId="7" fillId="0" borderId="0" xfId="36" applyFont="1" applyBorder="1" applyAlignment="1">
      <alignment horizontal="left" vertical="center" indent="3"/>
    </xf>
    <xf numFmtId="0" fontId="7" fillId="0" borderId="0" xfId="0" applyFont="1" applyAlignment="1">
      <alignment horizontal="left" indent="2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3" fontId="59" fillId="0" borderId="18" xfId="36" applyFont="1" applyBorder="1" applyAlignment="1">
      <alignment/>
    </xf>
    <xf numFmtId="0" fontId="9" fillId="0" borderId="11" xfId="0" applyFont="1" applyBorder="1" applyAlignment="1" quotePrefix="1">
      <alignment horizontal="center"/>
    </xf>
    <xf numFmtId="0" fontId="6" fillId="6" borderId="0" xfId="0" applyFont="1" applyFill="1" applyAlignment="1">
      <alignment/>
    </xf>
    <xf numFmtId="49" fontId="7" fillId="6" borderId="0" xfId="0" applyNumberFormat="1" applyFont="1" applyFill="1" applyAlignment="1">
      <alignment horizontal="center"/>
    </xf>
    <xf numFmtId="43" fontId="56" fillId="6" borderId="0" xfId="36" applyFont="1" applyFill="1" applyAlignment="1">
      <alignment/>
    </xf>
    <xf numFmtId="0" fontId="7" fillId="6" borderId="0" xfId="0" applyFont="1" applyFill="1" applyAlignment="1">
      <alignment horizontal="center"/>
    </xf>
    <xf numFmtId="0" fontId="7" fillId="6" borderId="0" xfId="0" applyFont="1" applyFill="1" applyBorder="1" applyAlignment="1">
      <alignment horizontal="center"/>
    </xf>
    <xf numFmtId="43" fontId="7" fillId="6" borderId="0" xfId="36" applyFont="1" applyFill="1" applyBorder="1" applyAlignment="1">
      <alignment/>
    </xf>
    <xf numFmtId="43" fontId="6" fillId="6" borderId="0" xfId="36" applyFont="1" applyFill="1" applyBorder="1" applyAlignment="1">
      <alignment/>
    </xf>
    <xf numFmtId="0" fontId="6" fillId="6" borderId="0" xfId="0" applyFont="1" applyFill="1" applyBorder="1" applyAlignment="1">
      <alignment/>
    </xf>
    <xf numFmtId="43" fontId="56" fillId="6" borderId="0" xfId="36" applyFont="1" applyFill="1" applyAlignment="1">
      <alignment horizontal="center"/>
    </xf>
    <xf numFmtId="0" fontId="56" fillId="6" borderId="0" xfId="0" applyFont="1" applyFill="1" applyAlignment="1">
      <alignment horizontal="center"/>
    </xf>
    <xf numFmtId="43" fontId="56" fillId="6" borderId="0" xfId="0" applyNumberFormat="1" applyFont="1" applyFill="1" applyAlignment="1">
      <alignment/>
    </xf>
    <xf numFmtId="43" fontId="58" fillId="6" borderId="10" xfId="0" applyNumberFormat="1" applyFont="1" applyFill="1" applyBorder="1" applyAlignment="1">
      <alignment/>
    </xf>
    <xf numFmtId="43" fontId="56" fillId="6" borderId="10" xfId="36" applyFont="1" applyFill="1" applyBorder="1" applyAlignment="1">
      <alignment/>
    </xf>
    <xf numFmtId="43" fontId="6" fillId="6" borderId="0" xfId="0" applyNumberFormat="1" applyFont="1" applyFill="1" applyBorder="1" applyAlignment="1">
      <alignment/>
    </xf>
    <xf numFmtId="43" fontId="7" fillId="6" borderId="0" xfId="0" applyNumberFormat="1" applyFont="1" applyFill="1" applyBorder="1" applyAlignment="1">
      <alignment/>
    </xf>
    <xf numFmtId="0" fontId="6" fillId="6" borderId="0" xfId="0" applyFont="1" applyFill="1" applyAlignment="1">
      <alignment horizontal="center"/>
    </xf>
    <xf numFmtId="0" fontId="60" fillId="0" borderId="18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18" xfId="0" applyFont="1" applyBorder="1" applyAlignment="1">
      <alignment horizontal="center"/>
    </xf>
    <xf numFmtId="0" fontId="61" fillId="0" borderId="16" xfId="0" applyFont="1" applyBorder="1" applyAlignment="1">
      <alignment/>
    </xf>
    <xf numFmtId="0" fontId="61" fillId="0" borderId="23" xfId="0" applyFont="1" applyBorder="1" applyAlignment="1">
      <alignment/>
    </xf>
    <xf numFmtId="0" fontId="61" fillId="0" borderId="17" xfId="0" applyFont="1" applyBorder="1" applyAlignment="1">
      <alignment/>
    </xf>
    <xf numFmtId="0" fontId="60" fillId="0" borderId="16" xfId="0" applyFont="1" applyBorder="1" applyAlignment="1">
      <alignment horizontal="center"/>
    </xf>
    <xf numFmtId="0" fontId="61" fillId="0" borderId="0" xfId="0" applyFont="1" applyAlignment="1">
      <alignment/>
    </xf>
    <xf numFmtId="0" fontId="61" fillId="0" borderId="15" xfId="0" applyFont="1" applyBorder="1" applyAlignment="1">
      <alignment/>
    </xf>
    <xf numFmtId="0" fontId="60" fillId="0" borderId="18" xfId="0" applyFont="1" applyBorder="1" applyAlignment="1">
      <alignment horizontal="center"/>
    </xf>
    <xf numFmtId="0" fontId="61" fillId="0" borderId="18" xfId="0" applyFont="1" applyBorder="1" applyAlignment="1" quotePrefix="1">
      <alignment horizontal="center"/>
    </xf>
    <xf numFmtId="0" fontId="61" fillId="0" borderId="17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23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43" fontId="61" fillId="0" borderId="18" xfId="36" applyFont="1" applyBorder="1" applyAlignment="1">
      <alignment/>
    </xf>
    <xf numFmtId="0" fontId="60" fillId="0" borderId="0" xfId="0" applyFont="1" applyAlignment="1">
      <alignment/>
    </xf>
    <xf numFmtId="0" fontId="60" fillId="0" borderId="23" xfId="0" applyFont="1" applyBorder="1" applyAlignment="1">
      <alignment horizontal="center"/>
    </xf>
    <xf numFmtId="43" fontId="61" fillId="0" borderId="18" xfId="36" applyNumberFormat="1" applyFont="1" applyBorder="1" applyAlignment="1">
      <alignment/>
    </xf>
    <xf numFmtId="43" fontId="60" fillId="0" borderId="34" xfId="36" applyFont="1" applyBorder="1" applyAlignment="1">
      <alignment/>
    </xf>
    <xf numFmtId="43" fontId="61" fillId="0" borderId="41" xfId="36" applyFont="1" applyBorder="1" applyAlignment="1">
      <alignment/>
    </xf>
    <xf numFmtId="43" fontId="61" fillId="0" borderId="17" xfId="36" applyFont="1" applyBorder="1" applyAlignment="1">
      <alignment/>
    </xf>
    <xf numFmtId="43" fontId="61" fillId="0" borderId="0" xfId="36" applyFont="1" applyBorder="1" applyAlignment="1">
      <alignment/>
    </xf>
    <xf numFmtId="0" fontId="60" fillId="6" borderId="0" xfId="0" applyFont="1" applyFill="1" applyAlignment="1">
      <alignment/>
    </xf>
    <xf numFmtId="0" fontId="61" fillId="6" borderId="0" xfId="0" applyFont="1" applyFill="1" applyAlignment="1">
      <alignment/>
    </xf>
    <xf numFmtId="0" fontId="60" fillId="6" borderId="18" xfId="0" applyFont="1" applyFill="1" applyBorder="1" applyAlignment="1">
      <alignment horizontal="center"/>
    </xf>
    <xf numFmtId="0" fontId="60" fillId="6" borderId="23" xfId="0" applyFont="1" applyFill="1" applyBorder="1" applyAlignment="1">
      <alignment horizontal="center"/>
    </xf>
    <xf numFmtId="43" fontId="61" fillId="6" borderId="18" xfId="36" applyFont="1" applyFill="1" applyBorder="1" applyAlignment="1">
      <alignment/>
    </xf>
    <xf numFmtId="43" fontId="61" fillId="6" borderId="18" xfId="36" applyNumberFormat="1" applyFont="1" applyFill="1" applyBorder="1" applyAlignment="1">
      <alignment/>
    </xf>
    <xf numFmtId="43" fontId="60" fillId="6" borderId="34" xfId="36" applyFont="1" applyFill="1" applyBorder="1" applyAlignment="1">
      <alignment/>
    </xf>
    <xf numFmtId="43" fontId="61" fillId="6" borderId="41" xfId="36" applyFont="1" applyFill="1" applyBorder="1" applyAlignment="1">
      <alignment/>
    </xf>
    <xf numFmtId="43" fontId="61" fillId="6" borderId="17" xfId="36" applyFont="1" applyFill="1" applyBorder="1" applyAlignment="1">
      <alignment/>
    </xf>
    <xf numFmtId="0" fontId="61" fillId="6" borderId="17" xfId="0" applyFont="1" applyFill="1" applyBorder="1" applyAlignment="1">
      <alignment/>
    </xf>
    <xf numFmtId="0" fontId="61" fillId="6" borderId="0" xfId="0" applyFont="1" applyFill="1" applyBorder="1" applyAlignment="1">
      <alignment/>
    </xf>
    <xf numFmtId="43" fontId="61" fillId="6" borderId="0" xfId="36" applyFont="1" applyFill="1" applyBorder="1" applyAlignment="1">
      <alignment/>
    </xf>
    <xf numFmtId="49" fontId="60" fillId="0" borderId="0" xfId="0" applyNumberFormat="1" applyFont="1" applyAlignment="1">
      <alignment horizontal="center"/>
    </xf>
    <xf numFmtId="0" fontId="60" fillId="0" borderId="11" xfId="0" applyFont="1" applyBorder="1" applyAlignment="1">
      <alignment horizontal="center"/>
    </xf>
    <xf numFmtId="43" fontId="60" fillId="0" borderId="18" xfId="36" applyFont="1" applyBorder="1" applyAlignment="1">
      <alignment/>
    </xf>
    <xf numFmtId="43" fontId="60" fillId="0" borderId="11" xfId="36" applyFont="1" applyBorder="1" applyAlignment="1">
      <alignment/>
    </xf>
    <xf numFmtId="43" fontId="61" fillId="0" borderId="15" xfId="36" applyFont="1" applyBorder="1" applyAlignment="1">
      <alignment/>
    </xf>
    <xf numFmtId="43" fontId="62" fillId="0" borderId="18" xfId="36" applyFont="1" applyBorder="1" applyAlignment="1">
      <alignment/>
    </xf>
    <xf numFmtId="43" fontId="62" fillId="0" borderId="18" xfId="36" applyFont="1" applyBorder="1" applyAlignment="1">
      <alignment/>
    </xf>
    <xf numFmtId="43" fontId="61" fillId="0" borderId="18" xfId="0" applyNumberFormat="1" applyFont="1" applyBorder="1" applyAlignment="1">
      <alignment/>
    </xf>
    <xf numFmtId="43" fontId="60" fillId="0" borderId="34" xfId="0" applyNumberFormat="1" applyFont="1" applyBorder="1" applyAlignment="1">
      <alignment/>
    </xf>
    <xf numFmtId="43" fontId="60" fillId="0" borderId="0" xfId="0" applyNumberFormat="1" applyFont="1" applyBorder="1" applyAlignment="1">
      <alignment/>
    </xf>
    <xf numFmtId="49" fontId="60" fillId="6" borderId="0" xfId="0" applyNumberFormat="1" applyFont="1" applyFill="1" applyAlignment="1">
      <alignment horizontal="center"/>
    </xf>
    <xf numFmtId="0" fontId="60" fillId="6" borderId="0" xfId="0" applyFont="1" applyFill="1" applyAlignment="1">
      <alignment horizontal="center"/>
    </xf>
    <xf numFmtId="0" fontId="60" fillId="6" borderId="11" xfId="0" applyFont="1" applyFill="1" applyBorder="1" applyAlignment="1">
      <alignment horizontal="center"/>
    </xf>
    <xf numFmtId="43" fontId="60" fillId="6" borderId="18" xfId="36" applyFont="1" applyFill="1" applyBorder="1" applyAlignment="1">
      <alignment/>
    </xf>
    <xf numFmtId="43" fontId="60" fillId="6" borderId="11" xfId="36" applyFont="1" applyFill="1" applyBorder="1" applyAlignment="1">
      <alignment/>
    </xf>
    <xf numFmtId="43" fontId="61" fillId="6" borderId="15" xfId="36" applyFont="1" applyFill="1" applyBorder="1" applyAlignment="1">
      <alignment/>
    </xf>
    <xf numFmtId="43" fontId="62" fillId="6" borderId="16" xfId="36" applyFont="1" applyFill="1" applyBorder="1" applyAlignment="1">
      <alignment/>
    </xf>
    <xf numFmtId="43" fontId="62" fillId="6" borderId="16" xfId="36" applyFont="1" applyFill="1" applyBorder="1" applyAlignment="1">
      <alignment/>
    </xf>
    <xf numFmtId="43" fontId="61" fillId="6" borderId="16" xfId="36" applyFont="1" applyFill="1" applyBorder="1" applyAlignment="1">
      <alignment/>
    </xf>
    <xf numFmtId="0" fontId="61" fillId="6" borderId="18" xfId="0" applyFont="1" applyFill="1" applyBorder="1" applyAlignment="1">
      <alignment/>
    </xf>
    <xf numFmtId="43" fontId="61" fillId="6" borderId="18" xfId="0" applyNumberFormat="1" applyFont="1" applyFill="1" applyBorder="1" applyAlignment="1">
      <alignment/>
    </xf>
    <xf numFmtId="43" fontId="60" fillId="6" borderId="34" xfId="0" applyNumberFormat="1" applyFont="1" applyFill="1" applyBorder="1" applyAlignment="1">
      <alignment/>
    </xf>
    <xf numFmtId="43" fontId="60" fillId="6" borderId="0" xfId="0" applyNumberFormat="1" applyFont="1" applyFill="1" applyBorder="1" applyAlignment="1">
      <alignment/>
    </xf>
    <xf numFmtId="43" fontId="61" fillId="0" borderId="23" xfId="36" applyFont="1" applyBorder="1" applyAlignment="1">
      <alignment/>
    </xf>
    <xf numFmtId="0" fontId="60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60" fillId="6" borderId="0" xfId="0" applyFont="1" applyFill="1" applyAlignment="1">
      <alignment horizontal="right"/>
    </xf>
    <xf numFmtId="0" fontId="61" fillId="6" borderId="15" xfId="0" applyFont="1" applyFill="1" applyBorder="1" applyAlignment="1">
      <alignment/>
    </xf>
    <xf numFmtId="0" fontId="61" fillId="6" borderId="23" xfId="0" applyFont="1" applyFill="1" applyBorder="1" applyAlignment="1">
      <alignment/>
    </xf>
    <xf numFmtId="0" fontId="60" fillId="6" borderId="18" xfId="0" applyFont="1" applyFill="1" applyBorder="1" applyAlignment="1">
      <alignment/>
    </xf>
    <xf numFmtId="0" fontId="61" fillId="6" borderId="18" xfId="0" applyFont="1" applyFill="1" applyBorder="1" applyAlignment="1">
      <alignment horizontal="center"/>
    </xf>
    <xf numFmtId="0" fontId="61" fillId="6" borderId="16" xfId="0" applyFont="1" applyFill="1" applyBorder="1" applyAlignment="1">
      <alignment/>
    </xf>
    <xf numFmtId="0" fontId="60" fillId="6" borderId="16" xfId="0" applyFont="1" applyFill="1" applyBorder="1" applyAlignment="1">
      <alignment horizontal="center"/>
    </xf>
    <xf numFmtId="0" fontId="61" fillId="6" borderId="18" xfId="0" applyFont="1" applyFill="1" applyBorder="1" applyAlignment="1" quotePrefix="1">
      <alignment horizontal="center"/>
    </xf>
    <xf numFmtId="0" fontId="61" fillId="6" borderId="17" xfId="0" applyFont="1" applyFill="1" applyBorder="1" applyAlignment="1">
      <alignment horizontal="center"/>
    </xf>
    <xf numFmtId="0" fontId="61" fillId="6" borderId="23" xfId="0" applyFont="1" applyFill="1" applyBorder="1" applyAlignment="1">
      <alignment horizontal="center"/>
    </xf>
    <xf numFmtId="0" fontId="60" fillId="6" borderId="0" xfId="0" applyFont="1" applyFill="1" applyBorder="1" applyAlignment="1">
      <alignment horizontal="center"/>
    </xf>
    <xf numFmtId="0" fontId="61" fillId="6" borderId="0" xfId="0" applyFont="1" applyFill="1" applyAlignment="1">
      <alignment horizontal="center"/>
    </xf>
    <xf numFmtId="43" fontId="61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17" xfId="0" applyFont="1" applyBorder="1" applyAlignment="1">
      <alignment horizontal="left" shrinkToFit="1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3" fontId="7" fillId="12" borderId="12" xfId="36" applyFont="1" applyFill="1" applyBorder="1" applyAlignment="1">
      <alignment horizontal="center"/>
    </xf>
    <xf numFmtId="43" fontId="7" fillId="12" borderId="49" xfId="36" applyFont="1" applyFill="1" applyBorder="1" applyAlignment="1">
      <alignment horizontal="center"/>
    </xf>
    <xf numFmtId="17" fontId="7" fillId="12" borderId="12" xfId="36" applyNumberFormat="1" applyFont="1" applyFill="1" applyBorder="1" applyAlignment="1">
      <alignment horizontal="center"/>
    </xf>
    <xf numFmtId="43" fontId="6" fillId="12" borderId="12" xfId="36" applyFont="1" applyFill="1" applyBorder="1" applyAlignment="1">
      <alignment horizontal="center"/>
    </xf>
    <xf numFmtId="43" fontId="6" fillId="12" borderId="49" xfId="36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 vertical="center"/>
    </xf>
    <xf numFmtId="0" fontId="7" fillId="12" borderId="22" xfId="0" applyFont="1" applyFill="1" applyBorder="1" applyAlignment="1">
      <alignment horizontal="center" vertical="center"/>
    </xf>
    <xf numFmtId="0" fontId="7" fillId="12" borderId="49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/>
    </xf>
    <xf numFmtId="0" fontId="7" fillId="16" borderId="2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15" fontId="3" fillId="0" borderId="3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43" fontId="6" fillId="0" borderId="0" xfId="36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15" fontId="7" fillId="0" borderId="3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43" fontId="4" fillId="0" borderId="0" xfId="36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11" xfId="0" applyFont="1" applyBorder="1" applyAlignment="1">
      <alignment horizontal="center"/>
    </xf>
    <xf numFmtId="0" fontId="61" fillId="6" borderId="0" xfId="0" applyFont="1" applyFill="1" applyAlignment="1">
      <alignment horizontal="center"/>
    </xf>
    <xf numFmtId="0" fontId="60" fillId="6" borderId="0" xfId="0" applyFont="1" applyFill="1" applyAlignment="1">
      <alignment horizontal="center"/>
    </xf>
    <xf numFmtId="0" fontId="60" fillId="6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43" fontId="7" fillId="0" borderId="0" xfId="36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/>
    </xf>
    <xf numFmtId="0" fontId="7" fillId="0" borderId="22" xfId="0" applyFont="1" applyFill="1" applyBorder="1" applyAlignment="1" quotePrefix="1">
      <alignment horizontal="center"/>
    </xf>
    <xf numFmtId="0" fontId="7" fillId="0" borderId="49" xfId="0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0" fontId="7" fillId="16" borderId="49" xfId="0" applyFont="1" applyFill="1" applyBorder="1" applyAlignment="1">
      <alignment horizontal="center"/>
    </xf>
    <xf numFmtId="0" fontId="7" fillId="16" borderId="19" xfId="0" applyFont="1" applyFill="1" applyBorder="1" applyAlignment="1">
      <alignment horizontal="center"/>
    </xf>
    <xf numFmtId="0" fontId="7" fillId="16" borderId="21" xfId="0" applyFont="1" applyFill="1" applyBorder="1" applyAlignment="1">
      <alignment horizontal="center"/>
    </xf>
    <xf numFmtId="0" fontId="7" fillId="16" borderId="12" xfId="0" applyFont="1" applyFill="1" applyBorder="1" applyAlignment="1" quotePrefix="1">
      <alignment horizontal="center"/>
    </xf>
    <xf numFmtId="0" fontId="7" fillId="16" borderId="22" xfId="0" applyFont="1" applyFill="1" applyBorder="1" applyAlignment="1" quotePrefix="1">
      <alignment horizontal="center"/>
    </xf>
    <xf numFmtId="0" fontId="7" fillId="16" borderId="49" xfId="0" applyFont="1" applyFill="1" applyBorder="1" applyAlignment="1" quotePrefix="1">
      <alignment horizontal="center"/>
    </xf>
    <xf numFmtId="0" fontId="7" fillId="16" borderId="27" xfId="0" applyFont="1" applyFill="1" applyBorder="1" applyAlignment="1">
      <alignment horizontal="center"/>
    </xf>
    <xf numFmtId="0" fontId="7" fillId="16" borderId="38" xfId="0" applyFont="1" applyFill="1" applyBorder="1" applyAlignment="1">
      <alignment horizontal="center"/>
    </xf>
    <xf numFmtId="0" fontId="7" fillId="16" borderId="30" xfId="0" applyFont="1" applyFill="1" applyBorder="1" applyAlignment="1">
      <alignment horizontal="center"/>
    </xf>
    <xf numFmtId="0" fontId="7" fillId="16" borderId="50" xfId="0" applyFont="1" applyFill="1" applyBorder="1" applyAlignment="1">
      <alignment horizontal="center"/>
    </xf>
    <xf numFmtId="0" fontId="7" fillId="16" borderId="24" xfId="0" applyFont="1" applyFill="1" applyBorder="1" applyAlignment="1">
      <alignment horizontal="left"/>
    </xf>
    <xf numFmtId="0" fontId="7" fillId="16" borderId="48" xfId="0" applyFont="1" applyFill="1" applyBorder="1" applyAlignment="1">
      <alignment horizontal="left"/>
    </xf>
    <xf numFmtId="0" fontId="7" fillId="16" borderId="11" xfId="0" applyFont="1" applyFill="1" applyBorder="1" applyAlignment="1">
      <alignment horizontal="center"/>
    </xf>
    <xf numFmtId="0" fontId="7" fillId="16" borderId="11" xfId="0" applyFont="1" applyFill="1" applyBorder="1" applyAlignment="1" quotePrefix="1">
      <alignment horizontal="center"/>
    </xf>
    <xf numFmtId="0" fontId="7" fillId="16" borderId="11" xfId="0" applyFont="1" applyFill="1" applyBorder="1" applyAlignment="1">
      <alignment horizontal="center" vertical="center"/>
    </xf>
    <xf numFmtId="0" fontId="7" fillId="16" borderId="0" xfId="0" applyFont="1" applyFill="1" applyAlignment="1">
      <alignment horizontal="center"/>
    </xf>
    <xf numFmtId="0" fontId="7" fillId="16" borderId="35" xfId="0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22" xfId="0" applyFont="1" applyBorder="1" applyAlignment="1" quotePrefix="1">
      <alignment horizontal="center"/>
    </xf>
    <xf numFmtId="0" fontId="9" fillId="0" borderId="49" xfId="0" applyFont="1" applyBorder="1" applyAlignment="1" quotePrefix="1">
      <alignment horizontal="center"/>
    </xf>
    <xf numFmtId="0" fontId="9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mboon\AppData\Local\Temp\&#3591;&#3610;&#3649;&#3626;&#3604;&#3591;&#3600;&#3634;&#3609;&#3632;&#3585;&#3634;&#3619;&#3648;&#3591;&#3636;&#3609;&#3611;&#3637;%202555..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mboon\AppData\Local\Temp\&#3619;&#3634;&#3618;&#3592;&#3656;&#3634;&#3618;&#3649;&#3618;&#3585;&#3605;&#3634;&#3617;&#3649;&#3612;&#3609;&#3591;&#3634;&#3609;%20&#3611;&#3637;%20255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ฐานะการเงิน"/>
      <sheetName val="งบทรัพย์สิน(1)"/>
      <sheetName val="ประกอบงบ (2),(3)"/>
      <sheetName val="ค้างจ่าย (4)"/>
      <sheetName val="เงินสะสม (5)"/>
      <sheetName val="อนุมัติจ่ายเงินสะสม (5.1)"/>
      <sheetName val="รายงานจ่ายเงินสะสม"/>
      <sheetName val="งบแสดงผลงานจากรายรับ"/>
      <sheetName val="Sheet1"/>
    </sheetNames>
    <sheetDataSet>
      <sheetData sheetId="4">
        <row r="8">
          <cell r="C8">
            <v>1777355.522500001</v>
          </cell>
        </row>
        <row r="21">
          <cell r="D21">
            <v>11351917.227500003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จ่ายแผน"/>
      <sheetName val="จ่ายเดือน (2)"/>
      <sheetName val="ทั่วไป,คลัง"/>
      <sheetName val="สงบ"/>
      <sheetName val="ศึกษา"/>
      <sheetName val="สธ."/>
      <sheetName val="สงเคราะห์"/>
      <sheetName val="เคหะ"/>
      <sheetName val="สร้างความเข้มแข็ง"/>
      <sheetName val="ศาสนาฯ"/>
      <sheetName val="การเกษตร"/>
      <sheetName val="การพาณิชย์"/>
      <sheetName val="งบกลาง"/>
      <sheetName val="งบกลาง (2)"/>
    </sheetNames>
    <sheetDataSet>
      <sheetData sheetId="1">
        <row r="26">
          <cell r="G26">
            <v>2713528.3099999996</v>
          </cell>
        </row>
        <row r="30">
          <cell r="G30">
            <v>313695</v>
          </cell>
        </row>
        <row r="33">
          <cell r="G33">
            <v>1851857.1400000001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6"/>
  <sheetViews>
    <sheetView view="pageBreakPreview" zoomScale="110" zoomScaleSheetLayoutView="110" zoomScalePageLayoutView="0" workbookViewId="0" topLeftCell="A4">
      <selection activeCell="D24" sqref="D24"/>
    </sheetView>
  </sheetViews>
  <sheetFormatPr defaultColWidth="9.140625" defaultRowHeight="12.75"/>
  <cols>
    <col min="1" max="1" width="8.7109375" style="2" customWidth="1"/>
    <col min="2" max="2" width="8.8515625" style="2" customWidth="1"/>
    <col min="3" max="3" width="8.140625" style="2" customWidth="1"/>
    <col min="4" max="4" width="23.7109375" style="2" customWidth="1"/>
    <col min="5" max="5" width="12.00390625" style="2" customWidth="1"/>
    <col min="6" max="6" width="14.421875" style="2" customWidth="1"/>
    <col min="7" max="7" width="14.140625" style="3" customWidth="1"/>
    <col min="8" max="8" width="12.7109375" style="3" customWidth="1"/>
    <col min="9" max="9" width="11.7109375" style="3" customWidth="1"/>
    <col min="10" max="10" width="10.8515625" style="2" customWidth="1"/>
    <col min="11" max="16384" width="9.140625" style="2" customWidth="1"/>
  </cols>
  <sheetData>
    <row r="1" spans="1:7" ht="18.75">
      <c r="A1" s="124"/>
      <c r="B1" s="124"/>
      <c r="C1" s="124"/>
      <c r="D1" s="124"/>
      <c r="E1" s="124"/>
      <c r="F1" s="124"/>
      <c r="G1" s="574" t="s">
        <v>708</v>
      </c>
    </row>
    <row r="2" spans="1:7" ht="18.75">
      <c r="A2" s="124"/>
      <c r="B2" s="124"/>
      <c r="C2" s="124"/>
      <c r="D2" s="124"/>
      <c r="E2" s="124"/>
      <c r="F2" s="124"/>
      <c r="G2" s="574" t="s">
        <v>709</v>
      </c>
    </row>
    <row r="3" spans="1:7" ht="18.75">
      <c r="A3" s="691" t="s">
        <v>137</v>
      </c>
      <c r="B3" s="691"/>
      <c r="C3" s="691"/>
      <c r="D3" s="691"/>
      <c r="E3" s="691"/>
      <c r="F3" s="691"/>
      <c r="G3" s="691"/>
    </row>
    <row r="4" spans="1:7" ht="18.75">
      <c r="A4" s="161" t="s">
        <v>138</v>
      </c>
      <c r="B4" s="128"/>
      <c r="C4" s="128"/>
      <c r="D4" s="128"/>
      <c r="E4" s="128"/>
      <c r="F4" s="128"/>
      <c r="G4" s="575"/>
    </row>
    <row r="5" spans="1:7" ht="18.75">
      <c r="A5" s="689" t="s">
        <v>0</v>
      </c>
      <c r="B5" s="690"/>
      <c r="C5" s="690"/>
      <c r="D5" s="690"/>
      <c r="E5" s="444" t="s">
        <v>139</v>
      </c>
      <c r="F5" s="444" t="s">
        <v>40</v>
      </c>
      <c r="G5" s="248" t="s">
        <v>1</v>
      </c>
    </row>
    <row r="6" spans="1:7" ht="18.75">
      <c r="A6" s="119" t="s">
        <v>2</v>
      </c>
      <c r="B6" s="120"/>
      <c r="C6" s="120"/>
      <c r="D6" s="120"/>
      <c r="E6" s="561">
        <v>110100</v>
      </c>
      <c r="F6" s="576">
        <f>19.82+620</f>
        <v>639.82</v>
      </c>
      <c r="G6" s="576">
        <v>600</v>
      </c>
    </row>
    <row r="7" spans="1:7" ht="18.75">
      <c r="A7" s="123" t="s">
        <v>325</v>
      </c>
      <c r="B7" s="124"/>
      <c r="C7" s="124"/>
      <c r="D7" s="124"/>
      <c r="E7" s="561">
        <v>110201</v>
      </c>
      <c r="F7" s="577">
        <v>274971.63</v>
      </c>
      <c r="G7" s="577"/>
    </row>
    <row r="8" spans="1:7" ht="18.75">
      <c r="A8" s="123" t="s">
        <v>53</v>
      </c>
      <c r="B8" s="124"/>
      <c r="C8" s="124"/>
      <c r="D8" s="124"/>
      <c r="E8" s="561">
        <v>110201</v>
      </c>
      <c r="F8" s="577">
        <f>115145.04+124049.28</f>
        <v>239194.32</v>
      </c>
      <c r="G8" s="577"/>
    </row>
    <row r="9" spans="1:7" ht="18.75">
      <c r="A9" s="123" t="s">
        <v>329</v>
      </c>
      <c r="B9" s="124"/>
      <c r="C9" s="124"/>
      <c r="D9" s="124"/>
      <c r="E9" s="561">
        <v>110201</v>
      </c>
      <c r="F9" s="577">
        <v>0</v>
      </c>
      <c r="G9" s="577"/>
    </row>
    <row r="10" spans="1:7" ht="18.75">
      <c r="A10" s="123" t="s">
        <v>388</v>
      </c>
      <c r="B10" s="124"/>
      <c r="C10" s="124"/>
      <c r="D10" s="124"/>
      <c r="E10" s="561">
        <v>110202</v>
      </c>
      <c r="F10" s="577">
        <v>0</v>
      </c>
      <c r="G10" s="577"/>
    </row>
    <row r="11" spans="1:8" ht="18.75">
      <c r="A11" s="123"/>
      <c r="B11" s="124" t="s">
        <v>140</v>
      </c>
      <c r="C11" s="124"/>
      <c r="D11" s="124"/>
      <c r="E11" s="561">
        <v>400000</v>
      </c>
      <c r="F11" s="577"/>
      <c r="G11" s="577">
        <f>85875.78+136646.45</f>
        <v>222522.23</v>
      </c>
      <c r="H11" s="3">
        <f>58279+1087.73+2448+19.4+18000+230+170+160+10530+8000+600+3877298.31+305521.44+205483.83+233446.73+28142.85+31241</f>
        <v>4780658.29</v>
      </c>
    </row>
    <row r="12" spans="1:7" ht="18.75">
      <c r="A12" s="123"/>
      <c r="B12" s="124" t="s">
        <v>386</v>
      </c>
      <c r="C12" s="124"/>
      <c r="D12" s="124"/>
      <c r="E12" s="561">
        <v>441000</v>
      </c>
      <c r="F12" s="577"/>
      <c r="G12" s="577">
        <v>0</v>
      </c>
    </row>
    <row r="13" spans="1:7" ht="18.75">
      <c r="A13" s="123"/>
      <c r="B13" s="124" t="s">
        <v>387</v>
      </c>
      <c r="C13" s="124"/>
      <c r="D13" s="124"/>
      <c r="E13" s="561">
        <v>441000</v>
      </c>
      <c r="F13" s="577"/>
      <c r="G13" s="577">
        <v>0</v>
      </c>
    </row>
    <row r="14" spans="1:7" ht="18.75">
      <c r="A14" s="123"/>
      <c r="B14" s="124" t="s">
        <v>407</v>
      </c>
      <c r="C14" s="124"/>
      <c r="D14" s="124"/>
      <c r="E14" s="561">
        <v>441000</v>
      </c>
      <c r="F14" s="577"/>
      <c r="G14" s="577">
        <v>150000</v>
      </c>
    </row>
    <row r="15" spans="1:7" ht="18.75">
      <c r="A15" s="123"/>
      <c r="B15" s="124" t="s">
        <v>409</v>
      </c>
      <c r="C15" s="124"/>
      <c r="D15" s="124"/>
      <c r="E15" s="561">
        <v>441000</v>
      </c>
      <c r="F15" s="577"/>
      <c r="G15" s="577">
        <v>36000</v>
      </c>
    </row>
    <row r="16" spans="1:11" ht="18.75">
      <c r="A16" s="123"/>
      <c r="B16" s="124" t="s">
        <v>408</v>
      </c>
      <c r="C16" s="124"/>
      <c r="D16" s="124"/>
      <c r="E16" s="561">
        <v>441000</v>
      </c>
      <c r="F16" s="577"/>
      <c r="G16" s="577">
        <v>1800</v>
      </c>
      <c r="H16" s="3">
        <f>SUM(G11:G16)</f>
        <v>410322.23</v>
      </c>
      <c r="K16" s="2">
        <f>195+20</f>
        <v>215</v>
      </c>
    </row>
    <row r="17" spans="1:7" ht="18.75" hidden="1">
      <c r="A17" s="123"/>
      <c r="B17" s="124" t="s">
        <v>410</v>
      </c>
      <c r="C17" s="124"/>
      <c r="D17" s="124"/>
      <c r="E17" s="561">
        <v>441000</v>
      </c>
      <c r="F17" s="577"/>
      <c r="G17" s="577"/>
    </row>
    <row r="18" spans="1:7" ht="18.75" hidden="1">
      <c r="A18" s="123"/>
      <c r="B18" s="124" t="s">
        <v>472</v>
      </c>
      <c r="C18" s="124"/>
      <c r="D18" s="124"/>
      <c r="E18" s="561">
        <v>441000</v>
      </c>
      <c r="F18" s="577"/>
      <c r="G18" s="578"/>
    </row>
    <row r="19" spans="1:7" ht="18.75" hidden="1">
      <c r="A19" s="123"/>
      <c r="B19" s="124" t="s">
        <v>425</v>
      </c>
      <c r="C19" s="124"/>
      <c r="D19" s="124"/>
      <c r="E19" s="561">
        <v>441000</v>
      </c>
      <c r="F19" s="577"/>
      <c r="G19" s="578"/>
    </row>
    <row r="20" spans="1:9" ht="18.75">
      <c r="A20" s="123"/>
      <c r="B20" s="124" t="s">
        <v>310</v>
      </c>
      <c r="C20" s="124"/>
      <c r="D20" s="124"/>
      <c r="E20" s="561">
        <v>230105</v>
      </c>
      <c r="F20" s="577"/>
      <c r="G20" s="578">
        <f>84.2+109.28</f>
        <v>193.48000000000002</v>
      </c>
      <c r="I20" s="3">
        <f>9090+20</f>
        <v>9110</v>
      </c>
    </row>
    <row r="21" spans="1:7" ht="18.75">
      <c r="A21" s="123"/>
      <c r="B21" s="124" t="s">
        <v>355</v>
      </c>
      <c r="C21" s="124"/>
      <c r="D21" s="124"/>
      <c r="E21" s="561">
        <v>230108</v>
      </c>
      <c r="F21" s="577"/>
      <c r="G21" s="578">
        <f>28635+74165</f>
        <v>102800</v>
      </c>
    </row>
    <row r="22" spans="1:7" ht="18.75" hidden="1">
      <c r="A22" s="123"/>
      <c r="B22" s="124" t="s">
        <v>350</v>
      </c>
      <c r="C22" s="124"/>
      <c r="D22" s="124"/>
      <c r="E22" s="561">
        <v>230109</v>
      </c>
      <c r="F22" s="577"/>
      <c r="G22" s="578">
        <v>0</v>
      </c>
    </row>
    <row r="23" spans="1:9" ht="18.75" hidden="1">
      <c r="A23" s="123"/>
      <c r="B23" s="124" t="s">
        <v>645</v>
      </c>
      <c r="C23" s="124"/>
      <c r="D23" s="124"/>
      <c r="E23" s="561">
        <v>230110</v>
      </c>
      <c r="F23" s="577"/>
      <c r="G23" s="578">
        <v>0</v>
      </c>
      <c r="I23" s="3">
        <f>50.74+420</f>
        <v>470.74</v>
      </c>
    </row>
    <row r="24" spans="1:7" ht="18.75">
      <c r="A24" s="123"/>
      <c r="B24" s="124" t="s">
        <v>677</v>
      </c>
      <c r="C24" s="124"/>
      <c r="D24" s="124"/>
      <c r="E24" s="561">
        <v>230112</v>
      </c>
      <c r="F24" s="577"/>
      <c r="G24" s="578">
        <v>890</v>
      </c>
    </row>
    <row r="25" spans="1:7" ht="18.75" hidden="1">
      <c r="A25" s="123"/>
      <c r="B25" s="124" t="s">
        <v>473</v>
      </c>
      <c r="C25" s="124"/>
      <c r="D25" s="124"/>
      <c r="E25" s="561">
        <v>110605</v>
      </c>
      <c r="F25" s="577"/>
      <c r="G25" s="578"/>
    </row>
    <row r="26" spans="1:7" ht="18.75" hidden="1">
      <c r="A26" s="123"/>
      <c r="B26" s="124" t="s">
        <v>57</v>
      </c>
      <c r="C26" s="124"/>
      <c r="D26" s="124"/>
      <c r="E26" s="561">
        <v>110602</v>
      </c>
      <c r="F26" s="577"/>
      <c r="G26" s="578"/>
    </row>
    <row r="27" spans="1:7" ht="18.75" hidden="1">
      <c r="A27" s="123"/>
      <c r="B27" s="124" t="s">
        <v>60</v>
      </c>
      <c r="C27" s="124"/>
      <c r="D27" s="124"/>
      <c r="E27" s="561">
        <v>110604</v>
      </c>
      <c r="F27" s="577"/>
      <c r="G27" s="578"/>
    </row>
    <row r="28" spans="1:7" ht="18.75" hidden="1">
      <c r="A28" s="123"/>
      <c r="B28" s="124" t="s">
        <v>152</v>
      </c>
      <c r="C28" s="124"/>
      <c r="D28" s="124"/>
      <c r="E28" s="561">
        <v>110606</v>
      </c>
      <c r="F28" s="577"/>
      <c r="G28" s="578"/>
    </row>
    <row r="29" spans="1:7" ht="18.75" hidden="1">
      <c r="A29" s="123"/>
      <c r="B29" s="124" t="s">
        <v>678</v>
      </c>
      <c r="C29" s="124"/>
      <c r="D29" s="124"/>
      <c r="E29" s="561">
        <v>522000</v>
      </c>
      <c r="F29" s="577"/>
      <c r="G29" s="578"/>
    </row>
    <row r="30" spans="1:7" ht="18.75" hidden="1">
      <c r="A30" s="123"/>
      <c r="B30" s="124" t="s">
        <v>424</v>
      </c>
      <c r="C30" s="124"/>
      <c r="D30" s="124"/>
      <c r="E30" s="561">
        <v>522000</v>
      </c>
      <c r="F30" s="577"/>
      <c r="G30" s="578"/>
    </row>
    <row r="31" spans="1:7" ht="18.75" hidden="1">
      <c r="A31" s="123"/>
      <c r="B31" s="124" t="s">
        <v>361</v>
      </c>
      <c r="C31" s="124"/>
      <c r="D31" s="124"/>
      <c r="E31" s="561">
        <v>441000</v>
      </c>
      <c r="F31" s="577"/>
      <c r="G31" s="578"/>
    </row>
    <row r="32" spans="1:7" ht="18.75" hidden="1">
      <c r="A32" s="123"/>
      <c r="B32" s="124" t="s">
        <v>571</v>
      </c>
      <c r="C32" s="124"/>
      <c r="D32" s="124"/>
      <c r="E32" s="561">
        <v>300000</v>
      </c>
      <c r="F32" s="577"/>
      <c r="G32" s="578"/>
    </row>
    <row r="33" spans="1:7" ht="18.75" hidden="1">
      <c r="A33" s="123"/>
      <c r="B33" s="124" t="s">
        <v>358</v>
      </c>
      <c r="C33" s="124"/>
      <c r="D33" s="124"/>
      <c r="E33" s="561">
        <v>300000</v>
      </c>
      <c r="F33" s="577"/>
      <c r="G33" s="578"/>
    </row>
    <row r="34" spans="1:7" ht="18.75">
      <c r="A34" s="123"/>
      <c r="B34" s="124" t="s">
        <v>313</v>
      </c>
      <c r="C34" s="124"/>
      <c r="D34" s="124"/>
      <c r="E34" s="561">
        <v>230200</v>
      </c>
      <c r="F34" s="577"/>
      <c r="G34" s="578">
        <v>0.06</v>
      </c>
    </row>
    <row r="35" spans="1:7" ht="18.75" hidden="1">
      <c r="A35" s="123"/>
      <c r="B35" s="124"/>
      <c r="C35" s="124"/>
      <c r="D35" s="124"/>
      <c r="E35" s="561"/>
      <c r="F35" s="125"/>
      <c r="G35" s="579"/>
    </row>
    <row r="36" spans="1:7" ht="18.75" hidden="1">
      <c r="A36" s="123"/>
      <c r="B36" s="124"/>
      <c r="C36" s="124"/>
      <c r="D36" s="124"/>
      <c r="E36" s="561"/>
      <c r="F36" s="125"/>
      <c r="G36" s="125"/>
    </row>
    <row r="37" spans="1:7" ht="18.75">
      <c r="A37" s="127"/>
      <c r="B37" s="128"/>
      <c r="C37" s="128"/>
      <c r="D37" s="128"/>
      <c r="E37" s="127"/>
      <c r="F37" s="129"/>
      <c r="G37" s="129"/>
    </row>
    <row r="38" spans="1:8" ht="19.5" thickBot="1">
      <c r="A38" s="124"/>
      <c r="B38" s="124"/>
      <c r="C38" s="124"/>
      <c r="D38" s="124"/>
      <c r="E38" s="124"/>
      <c r="F38" s="130">
        <f>SUM(F6:F37)</f>
        <v>514805.77</v>
      </c>
      <c r="G38" s="130">
        <f>SUM(G6:G37)</f>
        <v>514805.76999999996</v>
      </c>
      <c r="H38" s="3">
        <f>+G38-F38</f>
        <v>0</v>
      </c>
    </row>
    <row r="39" spans="1:7" ht="19.5" thickTop="1">
      <c r="A39" s="124"/>
      <c r="B39" s="124"/>
      <c r="C39" s="124"/>
      <c r="D39" s="124"/>
      <c r="E39" s="124"/>
      <c r="F39" s="374"/>
      <c r="G39" s="579"/>
    </row>
    <row r="40" spans="1:7" ht="18.75">
      <c r="A40" s="108" t="s">
        <v>141</v>
      </c>
      <c r="B40" s="108" t="s">
        <v>710</v>
      </c>
      <c r="C40" s="124"/>
      <c r="D40" s="124"/>
      <c r="E40" s="124"/>
      <c r="F40" s="374"/>
      <c r="G40" s="580"/>
    </row>
    <row r="41" spans="1:7" ht="18.75">
      <c r="A41" s="124"/>
      <c r="B41" s="124"/>
      <c r="C41" s="124"/>
      <c r="D41" s="124"/>
      <c r="E41" s="124"/>
      <c r="F41" s="374"/>
      <c r="G41" s="579"/>
    </row>
    <row r="42" spans="1:7" ht="18.75">
      <c r="A42" s="693" t="s">
        <v>144</v>
      </c>
      <c r="B42" s="694"/>
      <c r="C42" s="695"/>
      <c r="D42" s="692" t="s">
        <v>143</v>
      </c>
      <c r="E42" s="692"/>
      <c r="F42" s="692" t="s">
        <v>142</v>
      </c>
      <c r="G42" s="692"/>
    </row>
    <row r="43" spans="1:7" ht="18.75">
      <c r="A43" s="132"/>
      <c r="B43" s="562"/>
      <c r="C43" s="565"/>
      <c r="D43" s="132"/>
      <c r="E43" s="565"/>
      <c r="F43" s="132"/>
      <c r="G43" s="581"/>
    </row>
    <row r="44" spans="1:7" ht="18.75">
      <c r="A44" s="696" t="s">
        <v>351</v>
      </c>
      <c r="B44" s="697"/>
      <c r="C44" s="698"/>
      <c r="D44" s="696" t="s">
        <v>640</v>
      </c>
      <c r="E44" s="698"/>
      <c r="F44" s="696" t="str">
        <f>+A44</f>
        <v>(นางสาววรรณา  ผลบุญ)</v>
      </c>
      <c r="G44" s="698"/>
    </row>
    <row r="45" spans="1:7" ht="18.75">
      <c r="A45" s="696" t="s">
        <v>570</v>
      </c>
      <c r="B45" s="697"/>
      <c r="C45" s="698"/>
      <c r="D45" s="696" t="s">
        <v>36</v>
      </c>
      <c r="E45" s="698"/>
      <c r="F45" s="696" t="str">
        <f>+A45</f>
        <v>นักวิชาการเงินและบัญชี</v>
      </c>
      <c r="G45" s="698"/>
    </row>
    <row r="46" spans="1:7" ht="18.75">
      <c r="A46" s="127"/>
      <c r="B46" s="128"/>
      <c r="C46" s="133"/>
      <c r="D46" s="687"/>
      <c r="E46" s="688"/>
      <c r="F46" s="127"/>
      <c r="G46" s="582"/>
    </row>
    <row r="47" ht="18.75">
      <c r="H47" s="3">
        <f>782064.8+51279</f>
        <v>833343.8</v>
      </c>
    </row>
    <row r="48" spans="7:8" ht="18.75">
      <c r="G48" s="583" t="s">
        <v>711</v>
      </c>
      <c r="H48" s="3">
        <f>5507314.98+51279</f>
        <v>5558593.98</v>
      </c>
    </row>
    <row r="49" ht="18.75">
      <c r="G49" s="583" t="s">
        <v>709</v>
      </c>
    </row>
    <row r="50" spans="1:7" ht="18.75">
      <c r="A50" s="700" t="s">
        <v>137</v>
      </c>
      <c r="B50" s="700"/>
      <c r="C50" s="700"/>
      <c r="D50" s="700"/>
      <c r="E50" s="700"/>
      <c r="F50" s="700"/>
      <c r="G50" s="700"/>
    </row>
    <row r="51" ht="18.75">
      <c r="A51" s="4" t="s">
        <v>138</v>
      </c>
    </row>
    <row r="52" spans="1:7" ht="18.75">
      <c r="A52" s="689" t="s">
        <v>0</v>
      </c>
      <c r="B52" s="690"/>
      <c r="C52" s="690"/>
      <c r="D52" s="699"/>
      <c r="E52" s="444" t="s">
        <v>139</v>
      </c>
      <c r="F52" s="444" t="s">
        <v>40</v>
      </c>
      <c r="G52" s="248" t="s">
        <v>1</v>
      </c>
    </row>
    <row r="53" spans="1:9" s="124" customFormat="1" ht="18.75">
      <c r="A53" s="144" t="s">
        <v>11</v>
      </c>
      <c r="B53" s="560"/>
      <c r="C53" s="560"/>
      <c r="D53" s="560"/>
      <c r="E53" s="561">
        <v>510000</v>
      </c>
      <c r="F53" s="135">
        <f>7000+7404+45</f>
        <v>14449</v>
      </c>
      <c r="G53" s="135"/>
      <c r="H53" s="374"/>
      <c r="I53" s="374"/>
    </row>
    <row r="54" spans="1:9" s="124" customFormat="1" ht="18.75">
      <c r="A54" s="138" t="s">
        <v>123</v>
      </c>
      <c r="B54" s="562"/>
      <c r="C54" s="562"/>
      <c r="D54" s="562"/>
      <c r="E54" s="561">
        <v>521000</v>
      </c>
      <c r="F54" s="125">
        <v>218720</v>
      </c>
      <c r="G54" s="584"/>
      <c r="H54" s="374"/>
      <c r="I54" s="374"/>
    </row>
    <row r="55" spans="1:9" s="124" customFormat="1" ht="18.75">
      <c r="A55" s="138" t="s">
        <v>122</v>
      </c>
      <c r="B55" s="562"/>
      <c r="C55" s="562"/>
      <c r="D55" s="562"/>
      <c r="E55" s="561">
        <v>522000</v>
      </c>
      <c r="F55" s="125">
        <f>37320+720+48280+5255+3500+183080+8194+4650+10500</f>
        <v>301499</v>
      </c>
      <c r="G55" s="584"/>
      <c r="H55" s="374"/>
      <c r="I55" s="374"/>
    </row>
    <row r="56" spans="1:9" s="124" customFormat="1" ht="18.75">
      <c r="A56" s="123" t="s">
        <v>3</v>
      </c>
      <c r="B56" s="562"/>
      <c r="C56" s="562"/>
      <c r="D56" s="562"/>
      <c r="E56" s="561">
        <v>220400</v>
      </c>
      <c r="F56" s="125">
        <f>23730+3555</f>
        <v>27285</v>
      </c>
      <c r="G56" s="584"/>
      <c r="H56" s="374"/>
      <c r="I56" s="374"/>
    </row>
    <row r="57" spans="1:9" s="124" customFormat="1" ht="18.75">
      <c r="A57" s="123" t="s">
        <v>4</v>
      </c>
      <c r="B57" s="562"/>
      <c r="C57" s="562"/>
      <c r="D57" s="562"/>
      <c r="E57" s="561">
        <v>220600</v>
      </c>
      <c r="F57" s="125">
        <f>10319+5067+9140+5860+79510+45327+900</f>
        <v>156123</v>
      </c>
      <c r="G57" s="584"/>
      <c r="H57" s="374"/>
      <c r="I57" s="374"/>
    </row>
    <row r="58" spans="1:9" s="124" customFormat="1" ht="18.75">
      <c r="A58" s="123" t="s">
        <v>5</v>
      </c>
      <c r="B58" s="562"/>
      <c r="C58" s="562"/>
      <c r="D58" s="562"/>
      <c r="E58" s="561">
        <v>531000</v>
      </c>
      <c r="F58" s="125">
        <f>7200+20400</f>
        <v>27600</v>
      </c>
      <c r="G58" s="584"/>
      <c r="H58" s="374"/>
      <c r="I58" s="374"/>
    </row>
    <row r="59" spans="1:9" s="124" customFormat="1" ht="18.75">
      <c r="A59" s="138" t="s">
        <v>6</v>
      </c>
      <c r="B59" s="562"/>
      <c r="C59" s="562"/>
      <c r="D59" s="562"/>
      <c r="E59" s="561">
        <v>532000</v>
      </c>
      <c r="F59" s="125">
        <f>57640+58150+56641.81</f>
        <v>172431.81</v>
      </c>
      <c r="G59" s="584"/>
      <c r="H59" s="374"/>
      <c r="I59" s="374"/>
    </row>
    <row r="60" spans="1:9" s="124" customFormat="1" ht="18.75">
      <c r="A60" s="138" t="s">
        <v>7</v>
      </c>
      <c r="E60" s="561">
        <v>533000</v>
      </c>
      <c r="F60" s="125">
        <f>59383+50000+62650</f>
        <v>172033</v>
      </c>
      <c r="G60" s="125"/>
      <c r="H60" s="374"/>
      <c r="I60" s="374"/>
    </row>
    <row r="61" spans="1:9" s="124" customFormat="1" ht="18.75">
      <c r="A61" s="123" t="s">
        <v>8</v>
      </c>
      <c r="E61" s="561">
        <v>534000</v>
      </c>
      <c r="F61" s="125">
        <f>76758.04+4852+104279.96</f>
        <v>185890</v>
      </c>
      <c r="G61" s="125"/>
      <c r="H61" s="374"/>
      <c r="I61" s="374"/>
    </row>
    <row r="62" spans="1:9" s="124" customFormat="1" ht="18.75">
      <c r="A62" s="123" t="s">
        <v>58</v>
      </c>
      <c r="E62" s="561">
        <v>541000</v>
      </c>
      <c r="F62" s="125">
        <f>14600+5950</f>
        <v>20550</v>
      </c>
      <c r="G62" s="125"/>
      <c r="H62" s="374">
        <f>60000+35236.23</f>
        <v>95236.23000000001</v>
      </c>
      <c r="I62" s="374"/>
    </row>
    <row r="63" spans="1:9" ht="18.75" hidden="1">
      <c r="A63" s="123" t="s">
        <v>10</v>
      </c>
      <c r="B63" s="124"/>
      <c r="C63" s="124"/>
      <c r="D63" s="124"/>
      <c r="E63" s="561">
        <v>542000</v>
      </c>
      <c r="F63" s="125"/>
      <c r="G63" s="125"/>
      <c r="I63" s="374"/>
    </row>
    <row r="64" spans="1:9" ht="18.75" hidden="1">
      <c r="A64" s="123" t="s">
        <v>12</v>
      </c>
      <c r="B64" s="124"/>
      <c r="C64" s="124"/>
      <c r="D64" s="124"/>
      <c r="E64" s="561">
        <v>551000</v>
      </c>
      <c r="F64" s="125"/>
      <c r="G64" s="125"/>
      <c r="I64" s="374"/>
    </row>
    <row r="65" spans="1:9" ht="18.75">
      <c r="A65" s="123" t="s">
        <v>13</v>
      </c>
      <c r="B65" s="124"/>
      <c r="C65" s="124"/>
      <c r="D65" s="124"/>
      <c r="E65" s="561">
        <v>561000</v>
      </c>
      <c r="F65" s="125">
        <v>240000</v>
      </c>
      <c r="G65" s="125"/>
      <c r="I65" s="374"/>
    </row>
    <row r="66" spans="1:9" ht="18.75">
      <c r="A66" s="138" t="s">
        <v>14</v>
      </c>
      <c r="B66" s="124"/>
      <c r="C66" s="124"/>
      <c r="D66" s="124"/>
      <c r="E66" s="561">
        <v>210400</v>
      </c>
      <c r="F66" s="125">
        <f>57700+31500+91300+410000+411200+326500+426000+134000+194500+18400+934000+73000+58800</f>
        <v>3166900</v>
      </c>
      <c r="G66" s="125"/>
      <c r="I66" s="374"/>
    </row>
    <row r="67" spans="1:9" ht="18.75" hidden="1">
      <c r="A67" s="138" t="s">
        <v>59</v>
      </c>
      <c r="B67" s="124"/>
      <c r="C67" s="124"/>
      <c r="D67" s="124"/>
      <c r="E67" s="561">
        <v>210500</v>
      </c>
      <c r="F67" s="125">
        <v>0</v>
      </c>
      <c r="G67" s="125"/>
      <c r="I67" s="374"/>
    </row>
    <row r="68" spans="1:9" ht="18.75">
      <c r="A68" s="123" t="s">
        <v>385</v>
      </c>
      <c r="B68" s="124"/>
      <c r="C68" s="124"/>
      <c r="D68" s="124"/>
      <c r="E68" s="561">
        <v>441000</v>
      </c>
      <c r="F68" s="125">
        <v>140000</v>
      </c>
      <c r="G68" s="125"/>
      <c r="I68" s="374"/>
    </row>
    <row r="69" spans="1:9" ht="18.75">
      <c r="A69" s="123" t="s">
        <v>384</v>
      </c>
      <c r="B69" s="124"/>
      <c r="C69" s="124"/>
      <c r="D69" s="124"/>
      <c r="E69" s="561">
        <v>441000</v>
      </c>
      <c r="F69" s="125">
        <v>30000</v>
      </c>
      <c r="G69" s="125"/>
      <c r="I69" s="374"/>
    </row>
    <row r="70" spans="1:9" ht="18.75">
      <c r="A70" s="123" t="s">
        <v>441</v>
      </c>
      <c r="B70" s="124"/>
      <c r="C70" s="124"/>
      <c r="D70" s="124"/>
      <c r="E70" s="561">
        <v>441000</v>
      </c>
      <c r="F70" s="125">
        <v>1800</v>
      </c>
      <c r="G70" s="125"/>
      <c r="I70" s="374"/>
    </row>
    <row r="71" spans="1:9" ht="18.75" hidden="1">
      <c r="A71" s="123" t="s">
        <v>490</v>
      </c>
      <c r="B71" s="124"/>
      <c r="C71" s="124"/>
      <c r="D71" s="124"/>
      <c r="E71" s="561">
        <v>441000</v>
      </c>
      <c r="F71" s="125"/>
      <c r="G71" s="125"/>
      <c r="I71" s="374"/>
    </row>
    <row r="72" spans="1:9" ht="18.75" hidden="1">
      <c r="A72" s="123" t="s">
        <v>491</v>
      </c>
      <c r="B72" s="124"/>
      <c r="C72" s="124"/>
      <c r="D72" s="124"/>
      <c r="E72" s="561">
        <v>441000</v>
      </c>
      <c r="F72" s="125"/>
      <c r="G72" s="125"/>
      <c r="I72" s="374"/>
    </row>
    <row r="73" spans="1:9" ht="18.75" hidden="1">
      <c r="A73" s="123" t="s">
        <v>449</v>
      </c>
      <c r="B73" s="124"/>
      <c r="C73" s="124"/>
      <c r="D73" s="124"/>
      <c r="E73" s="561">
        <f>+E57</f>
        <v>220600</v>
      </c>
      <c r="F73" s="125"/>
      <c r="G73" s="125"/>
      <c r="I73" s="374"/>
    </row>
    <row r="74" spans="1:9" ht="18.75" hidden="1">
      <c r="A74" s="123" t="s">
        <v>365</v>
      </c>
      <c r="B74" s="124"/>
      <c r="C74" s="124"/>
      <c r="D74" s="124"/>
      <c r="E74" s="561">
        <f>+E55</f>
        <v>522000</v>
      </c>
      <c r="F74" s="125"/>
      <c r="G74" s="125"/>
      <c r="I74" s="374"/>
    </row>
    <row r="75" spans="1:9" ht="18.75" hidden="1">
      <c r="A75" s="123" t="s">
        <v>331</v>
      </c>
      <c r="B75" s="124"/>
      <c r="C75" s="124"/>
      <c r="D75" s="124"/>
      <c r="E75" s="561">
        <f>+E58</f>
        <v>531000</v>
      </c>
      <c r="F75" s="125"/>
      <c r="G75" s="125"/>
      <c r="I75" s="374"/>
    </row>
    <row r="76" spans="1:9" ht="18.75" hidden="1">
      <c r="A76" s="123" t="s">
        <v>442</v>
      </c>
      <c r="B76" s="124"/>
      <c r="C76" s="124"/>
      <c r="D76" s="124"/>
      <c r="E76" s="561">
        <f>+E60</f>
        <v>533000</v>
      </c>
      <c r="F76" s="125"/>
      <c r="G76" s="125"/>
      <c r="I76" s="374"/>
    </row>
    <row r="77" spans="1:12" ht="18.75">
      <c r="A77" s="123" t="s">
        <v>28</v>
      </c>
      <c r="B77" s="124"/>
      <c r="C77" s="124"/>
      <c r="E77" s="561">
        <v>300000</v>
      </c>
      <c r="F77" s="125">
        <f>94200+65600+186000</f>
        <v>345800</v>
      </c>
      <c r="G77" s="125"/>
      <c r="I77" s="374"/>
      <c r="L77" s="2">
        <f>1230+1203.55+180+31607.73+81305.96</f>
        <v>115527.24</v>
      </c>
    </row>
    <row r="78" spans="1:9" ht="18.75">
      <c r="A78" s="123" t="s">
        <v>152</v>
      </c>
      <c r="B78" s="124"/>
      <c r="C78" s="124"/>
      <c r="D78" s="124"/>
      <c r="E78" s="561">
        <v>110606</v>
      </c>
      <c r="F78" s="125">
        <f>60000+36000</f>
        <v>96000</v>
      </c>
      <c r="G78" s="125"/>
      <c r="I78" s="374"/>
    </row>
    <row r="79" spans="1:9" ht="18.75">
      <c r="A79" s="123" t="s">
        <v>130</v>
      </c>
      <c r="B79" s="124"/>
      <c r="C79" s="124"/>
      <c r="E79" s="561">
        <v>110605</v>
      </c>
      <c r="F79" s="125">
        <f>6740+4400+4500</f>
        <v>15640</v>
      </c>
      <c r="G79" s="125"/>
      <c r="I79" s="374"/>
    </row>
    <row r="80" spans="1:9" ht="18.75">
      <c r="A80" s="123" t="s">
        <v>440</v>
      </c>
      <c r="B80" s="124"/>
      <c r="C80" s="124"/>
      <c r="D80" s="124"/>
      <c r="E80" s="561">
        <v>110609</v>
      </c>
      <c r="F80" s="125">
        <f>56000+643100</f>
        <v>699100</v>
      </c>
      <c r="G80" s="125"/>
      <c r="I80" s="374"/>
    </row>
    <row r="81" spans="1:9" ht="18.75" hidden="1">
      <c r="A81" s="123" t="s">
        <v>622</v>
      </c>
      <c r="B81" s="124"/>
      <c r="C81" s="124"/>
      <c r="D81" s="124"/>
      <c r="E81" s="561">
        <v>120200</v>
      </c>
      <c r="F81" s="125"/>
      <c r="G81" s="125"/>
      <c r="I81" s="374"/>
    </row>
    <row r="82" spans="1:9" ht="18.75">
      <c r="A82" s="123" t="s">
        <v>26</v>
      </c>
      <c r="B82" s="124"/>
      <c r="C82" s="124"/>
      <c r="D82" s="124"/>
      <c r="E82" s="561">
        <v>230102</v>
      </c>
      <c r="F82" s="125">
        <v>3887.22</v>
      </c>
      <c r="G82" s="125"/>
      <c r="I82" s="374"/>
    </row>
    <row r="83" spans="1:9" ht="18.75" hidden="1">
      <c r="A83" s="123" t="s">
        <v>362</v>
      </c>
      <c r="B83" s="124"/>
      <c r="C83" s="124"/>
      <c r="D83" s="124"/>
      <c r="E83" s="561">
        <v>230108</v>
      </c>
      <c r="F83" s="125">
        <v>0</v>
      </c>
      <c r="G83" s="125"/>
      <c r="I83" s="374"/>
    </row>
    <row r="84" spans="1:7" ht="18.75" hidden="1">
      <c r="A84" s="123" t="s">
        <v>353</v>
      </c>
      <c r="B84" s="124"/>
      <c r="C84" s="124"/>
      <c r="D84" s="124"/>
      <c r="E84" s="561">
        <v>230109</v>
      </c>
      <c r="F84" s="125">
        <v>0</v>
      </c>
      <c r="G84" s="125"/>
    </row>
    <row r="85" spans="1:7" ht="18.75" hidden="1">
      <c r="A85" s="123" t="s">
        <v>88</v>
      </c>
      <c r="B85" s="124"/>
      <c r="C85" s="124"/>
      <c r="D85" s="124"/>
      <c r="E85" s="561">
        <v>230110</v>
      </c>
      <c r="F85" s="125">
        <v>0</v>
      </c>
      <c r="G85" s="125"/>
    </row>
    <row r="86" spans="1:7" ht="18.75">
      <c r="A86" s="123" t="s">
        <v>132</v>
      </c>
      <c r="B86" s="124"/>
      <c r="C86" s="124"/>
      <c r="D86" s="124"/>
      <c r="E86" s="561">
        <v>230111</v>
      </c>
      <c r="F86" s="125">
        <f>9249</f>
        <v>9249</v>
      </c>
      <c r="G86" s="125"/>
    </row>
    <row r="87" spans="1:7" ht="18.75" hidden="1">
      <c r="A87" s="123" t="s">
        <v>679</v>
      </c>
      <c r="B87" s="124"/>
      <c r="C87" s="124"/>
      <c r="D87" s="124"/>
      <c r="E87" s="561">
        <v>230112</v>
      </c>
      <c r="F87" s="125">
        <v>0</v>
      </c>
      <c r="G87" s="125"/>
    </row>
    <row r="88" spans="1:7" ht="18.75">
      <c r="A88" s="123" t="s">
        <v>713</v>
      </c>
      <c r="B88" s="124"/>
      <c r="C88" s="124"/>
      <c r="D88" s="124"/>
      <c r="E88" s="561">
        <v>441000</v>
      </c>
      <c r="F88" s="125">
        <v>93000</v>
      </c>
      <c r="G88" s="125"/>
    </row>
    <row r="89" spans="1:7" ht="18.75">
      <c r="A89" s="123" t="s">
        <v>715</v>
      </c>
      <c r="B89" s="124"/>
      <c r="C89" s="124"/>
      <c r="D89" s="124"/>
      <c r="E89" s="561">
        <v>441000</v>
      </c>
      <c r="F89" s="125">
        <v>8000</v>
      </c>
      <c r="G89" s="125"/>
    </row>
    <row r="90" spans="1:7" ht="18.75" hidden="1">
      <c r="A90" s="123" t="s">
        <v>714</v>
      </c>
      <c r="B90" s="124"/>
      <c r="C90" s="124"/>
      <c r="D90" s="124"/>
      <c r="E90" s="561">
        <v>441000</v>
      </c>
      <c r="F90" s="125">
        <v>0</v>
      </c>
      <c r="G90" s="125"/>
    </row>
    <row r="91" spans="1:7" ht="18.75" hidden="1">
      <c r="A91" s="123" t="s">
        <v>492</v>
      </c>
      <c r="B91" s="124"/>
      <c r="C91" s="124"/>
      <c r="D91" s="124"/>
      <c r="E91" s="561">
        <v>414006</v>
      </c>
      <c r="F91" s="125">
        <v>0</v>
      </c>
      <c r="G91" s="125"/>
    </row>
    <row r="92" spans="1:10" ht="18.75">
      <c r="A92" s="123"/>
      <c r="B92" s="124" t="s">
        <v>147</v>
      </c>
      <c r="C92" s="124"/>
      <c r="D92" s="124"/>
      <c r="E92" s="561">
        <v>110203</v>
      </c>
      <c r="F92" s="125"/>
      <c r="G92" s="125">
        <f>545001+177320</f>
        <v>722321</v>
      </c>
      <c r="J92" s="113"/>
    </row>
    <row r="93" spans="1:10" ht="18.75">
      <c r="A93" s="123"/>
      <c r="B93" s="124" t="s">
        <v>148</v>
      </c>
      <c r="C93" s="124"/>
      <c r="D93" s="124"/>
      <c r="E93" s="561">
        <v>110203</v>
      </c>
      <c r="F93" s="125"/>
      <c r="G93" s="125">
        <f>1080372.6+215651.55+3177414.13+72317.76+2625.23+2552.48+49500+5950+4500+51324.13+26300+41400+146311.68+166844.23+240000</f>
        <v>5283063.790000001</v>
      </c>
      <c r="J93" s="113"/>
    </row>
    <row r="94" spans="1:10" ht="18.75">
      <c r="A94" s="123"/>
      <c r="B94" s="124" t="s">
        <v>414</v>
      </c>
      <c r="C94" s="124"/>
      <c r="D94" s="124"/>
      <c r="E94" s="561">
        <v>110605</v>
      </c>
      <c r="F94" s="125"/>
      <c r="G94" s="125">
        <v>0</v>
      </c>
      <c r="J94" s="113"/>
    </row>
    <row r="95" spans="1:12" ht="18.75">
      <c r="A95" s="123"/>
      <c r="B95" s="124" t="s">
        <v>643</v>
      </c>
      <c r="C95" s="124"/>
      <c r="D95" s="124"/>
      <c r="E95" s="561">
        <v>230102</v>
      </c>
      <c r="F95" s="125"/>
      <c r="G95" s="125">
        <f>595.66+1188.45+29285.87+1322.21+2326.32+80+5.73</f>
        <v>34804.240000000005</v>
      </c>
      <c r="J95" s="113"/>
      <c r="L95" s="113"/>
    </row>
    <row r="96" spans="1:12" ht="18.75">
      <c r="A96" s="123"/>
      <c r="B96" s="124" t="s">
        <v>644</v>
      </c>
      <c r="C96" s="124"/>
      <c r="D96" s="124"/>
      <c r="E96" s="561">
        <f>+E86</f>
        <v>230111</v>
      </c>
      <c r="F96" s="125"/>
      <c r="G96" s="125">
        <f>769+750+6242+1845</f>
        <v>9606</v>
      </c>
      <c r="J96" s="113"/>
      <c r="L96" s="113"/>
    </row>
    <row r="97" spans="1:14" ht="18.75">
      <c r="A97" s="127"/>
      <c r="B97" s="128" t="s">
        <v>25</v>
      </c>
      <c r="C97" s="128"/>
      <c r="D97" s="128"/>
      <c r="E97" s="559">
        <v>412210</v>
      </c>
      <c r="F97" s="129"/>
      <c r="G97" s="129">
        <v>96162</v>
      </c>
      <c r="J97" s="113"/>
      <c r="L97" s="113">
        <f>+G95+450.09</f>
        <v>35254.33</v>
      </c>
      <c r="N97" s="2">
        <f>508855-29500</f>
        <v>479355</v>
      </c>
    </row>
    <row r="98" spans="6:12" ht="19.5" thickBot="1">
      <c r="F98" s="141">
        <f>SUM(F53:F97)</f>
        <v>6145957.03</v>
      </c>
      <c r="G98" s="141">
        <f>SUM(G53:G97)</f>
        <v>6145957.030000001</v>
      </c>
      <c r="H98" s="141"/>
      <c r="I98" s="141">
        <f>SUM(I92:I97)</f>
        <v>0</v>
      </c>
      <c r="J98" s="113"/>
      <c r="L98" s="113">
        <f>+L97-J95</f>
        <v>35254.33</v>
      </c>
    </row>
    <row r="99" spans="6:9" ht="19.5" thickTop="1">
      <c r="F99" s="3"/>
      <c r="H99" s="3">
        <f>+F98-G98</f>
        <v>0</v>
      </c>
      <c r="I99" s="3">
        <f>+I98-H98</f>
        <v>0</v>
      </c>
    </row>
    <row r="100" spans="1:9" ht="18.75">
      <c r="A100" s="4" t="s">
        <v>141</v>
      </c>
      <c r="B100" s="2" t="s">
        <v>145</v>
      </c>
      <c r="F100" s="3"/>
      <c r="G100" s="585" t="s">
        <v>712</v>
      </c>
      <c r="H100" s="3">
        <f>+H101-F98</f>
        <v>-240000.00000000093</v>
      </c>
      <c r="I100" s="3">
        <f>+I101-G98</f>
        <v>-406929.9600000018</v>
      </c>
    </row>
    <row r="101" spans="6:9" ht="18.75">
      <c r="F101" s="3"/>
      <c r="H101" s="3">
        <f>1080968.26+216840+3206700+342837.81+1058610.96</f>
        <v>5905957.029999999</v>
      </c>
      <c r="I101" s="3">
        <f>1080968.26+216840+3206700+342837.81+891681</f>
        <v>5739027.069999999</v>
      </c>
    </row>
    <row r="102" spans="1:9" ht="27" customHeight="1">
      <c r="A102" s="693" t="s">
        <v>144</v>
      </c>
      <c r="B102" s="694"/>
      <c r="C102" s="695"/>
      <c r="D102" s="692" t="s">
        <v>143</v>
      </c>
      <c r="E102" s="692"/>
      <c r="F102" s="692" t="s">
        <v>142</v>
      </c>
      <c r="G102" s="692"/>
      <c r="I102" s="3">
        <f>153398+23922</f>
        <v>177320</v>
      </c>
    </row>
    <row r="103" spans="1:9" ht="18.75">
      <c r="A103" s="123"/>
      <c r="B103" s="124"/>
      <c r="C103" s="126"/>
      <c r="D103" s="123"/>
      <c r="E103" s="126"/>
      <c r="F103" s="123"/>
      <c r="G103" s="579"/>
      <c r="I103" s="3">
        <f>+I102+41400</f>
        <v>218720</v>
      </c>
    </row>
    <row r="104" spans="1:7" ht="18.75">
      <c r="A104" s="696" t="str">
        <f>+A44</f>
        <v>(นางสาววรรณา  ผลบุญ)</v>
      </c>
      <c r="B104" s="697"/>
      <c r="C104" s="698"/>
      <c r="D104" s="696" t="s">
        <v>642</v>
      </c>
      <c r="E104" s="698"/>
      <c r="F104" s="696" t="str">
        <f>+A104</f>
        <v>(นางสาววรรณา  ผลบุญ)</v>
      </c>
      <c r="G104" s="698"/>
    </row>
    <row r="105" spans="1:7" ht="18.75">
      <c r="A105" s="696" t="str">
        <f>+A45</f>
        <v>นักวิชาการเงินและบัญชี</v>
      </c>
      <c r="B105" s="697"/>
      <c r="C105" s="698"/>
      <c r="D105" s="696" t="s">
        <v>36</v>
      </c>
      <c r="E105" s="698"/>
      <c r="F105" s="696" t="str">
        <f>+A105</f>
        <v>นักวิชาการเงินและบัญชี</v>
      </c>
      <c r="G105" s="698"/>
    </row>
    <row r="106" spans="1:7" ht="18.75">
      <c r="A106" s="127"/>
      <c r="B106" s="128"/>
      <c r="C106" s="133"/>
      <c r="D106" s="687"/>
      <c r="E106" s="688"/>
      <c r="F106" s="127"/>
      <c r="G106" s="582"/>
    </row>
    <row r="116" ht="18.75" hidden="1"/>
    <row r="117" ht="18.75" hidden="1"/>
    <row r="118" ht="18.75" hidden="1"/>
    <row r="122" ht="18.75" hidden="1"/>
    <row r="123" ht="18.75" hidden="1"/>
  </sheetData>
  <sheetProtection/>
  <mergeCells count="24">
    <mergeCell ref="D46:E46"/>
    <mergeCell ref="A50:G50"/>
    <mergeCell ref="A102:C102"/>
    <mergeCell ref="A104:C104"/>
    <mergeCell ref="D44:E44"/>
    <mergeCell ref="D45:E45"/>
    <mergeCell ref="F44:G44"/>
    <mergeCell ref="F45:G45"/>
    <mergeCell ref="D106:E106"/>
    <mergeCell ref="A5:D5"/>
    <mergeCell ref="A3:G3"/>
    <mergeCell ref="F42:G42"/>
    <mergeCell ref="D42:E42"/>
    <mergeCell ref="D102:E102"/>
    <mergeCell ref="A42:C42"/>
    <mergeCell ref="A44:C44"/>
    <mergeCell ref="A45:C45"/>
    <mergeCell ref="F102:G102"/>
    <mergeCell ref="D105:E105"/>
    <mergeCell ref="F105:G105"/>
    <mergeCell ref="A105:C105"/>
    <mergeCell ref="F104:G104"/>
    <mergeCell ref="A52:D52"/>
    <mergeCell ref="D104:E104"/>
  </mergeCells>
  <printOptions/>
  <pageMargins left="0.7874015748031497" right="0.5511811023622047" top="0.5511811023622047" bottom="0.5511811023622047" header="0.31496062992125984" footer="0.31496062992125984"/>
  <pageSetup horizontalDpi="600" verticalDpi="600" orientation="portrait" paperSize="9" r:id="rId1"/>
  <rowBreaks count="4" manualBreakCount="4">
    <brk id="47" max="255" man="1"/>
    <brk id="106" max="255" man="1"/>
    <brk id="179" max="255" man="1"/>
    <brk id="21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J89"/>
  <sheetViews>
    <sheetView view="pageBreakPreview" zoomScaleSheetLayoutView="100" zoomScalePageLayoutView="0" workbookViewId="0" topLeftCell="AC4">
      <selection activeCell="AH14" sqref="AH14"/>
    </sheetView>
  </sheetViews>
  <sheetFormatPr defaultColWidth="9.140625" defaultRowHeight="12.75"/>
  <cols>
    <col min="1" max="1" width="45.140625" style="124" customWidth="1"/>
    <col min="2" max="2" width="20.7109375" style="124" hidden="1" customWidth="1"/>
    <col min="3" max="3" width="11.00390625" style="382" customWidth="1"/>
    <col min="4" max="4" width="13.7109375" style="124" bestFit="1" customWidth="1"/>
    <col min="5" max="5" width="14.421875" style="124" customWidth="1"/>
    <col min="6" max="6" width="16.140625" style="124" customWidth="1"/>
    <col min="7" max="7" width="47.140625" style="124" customWidth="1"/>
    <col min="8" max="8" width="20.7109375" style="124" hidden="1" customWidth="1"/>
    <col min="9" max="9" width="11.00390625" style="438" customWidth="1"/>
    <col min="10" max="10" width="13.7109375" style="124" bestFit="1" customWidth="1"/>
    <col min="11" max="11" width="14.421875" style="124" customWidth="1"/>
    <col min="12" max="12" width="16.140625" style="124" customWidth="1"/>
    <col min="13" max="13" width="9.140625" style="124" customWidth="1"/>
    <col min="14" max="14" width="34.421875" style="124" customWidth="1"/>
    <col min="15" max="15" width="11.7109375" style="124" customWidth="1"/>
    <col min="16" max="16" width="15.8515625" style="124" customWidth="1"/>
    <col min="17" max="17" width="14.28125" style="124" customWidth="1"/>
    <col min="18" max="18" width="15.8515625" style="124" customWidth="1"/>
    <col min="19" max="19" width="9.140625" style="124" customWidth="1"/>
    <col min="20" max="20" width="40.421875" style="124" customWidth="1"/>
    <col min="21" max="21" width="10.00390625" style="124" customWidth="1"/>
    <col min="22" max="22" width="14.140625" style="124" customWidth="1"/>
    <col min="23" max="23" width="12.28125" style="124" customWidth="1"/>
    <col min="24" max="24" width="16.28125" style="124" customWidth="1"/>
    <col min="25" max="25" width="9.140625" style="124" customWidth="1"/>
    <col min="26" max="26" width="36.8515625" style="124" customWidth="1"/>
    <col min="27" max="27" width="10.7109375" style="124" customWidth="1"/>
    <col min="28" max="29" width="14.140625" style="124" customWidth="1"/>
    <col min="30" max="30" width="16.28125" style="124" customWidth="1"/>
    <col min="31" max="31" width="9.140625" style="124" customWidth="1"/>
    <col min="32" max="32" width="42.7109375" style="124" customWidth="1"/>
    <col min="33" max="33" width="9.140625" style="124" customWidth="1"/>
    <col min="34" max="34" width="13.57421875" style="124" customWidth="1"/>
    <col min="35" max="35" width="13.421875" style="124" customWidth="1"/>
    <col min="36" max="36" width="14.140625" style="124" customWidth="1"/>
    <col min="37" max="16384" width="9.140625" style="124" customWidth="1"/>
  </cols>
  <sheetData>
    <row r="1" spans="6:36" ht="18.75">
      <c r="F1" s="108" t="s">
        <v>184</v>
      </c>
      <c r="L1" s="108" t="s">
        <v>184</v>
      </c>
      <c r="O1" s="480"/>
      <c r="R1" s="108" t="s">
        <v>184</v>
      </c>
      <c r="U1" s="489"/>
      <c r="X1" s="108" t="s">
        <v>184</v>
      </c>
      <c r="AA1" s="512"/>
      <c r="AD1" s="108" t="s">
        <v>184</v>
      </c>
      <c r="AG1" s="566"/>
      <c r="AJ1" s="108" t="s">
        <v>184</v>
      </c>
    </row>
    <row r="2" spans="1:36" ht="18.75">
      <c r="A2" s="691" t="s">
        <v>29</v>
      </c>
      <c r="B2" s="691"/>
      <c r="C2" s="691"/>
      <c r="D2" s="691"/>
      <c r="E2" s="691"/>
      <c r="F2" s="691"/>
      <c r="G2" s="691" t="s">
        <v>29</v>
      </c>
      <c r="H2" s="691"/>
      <c r="I2" s="691"/>
      <c r="J2" s="691"/>
      <c r="K2" s="691"/>
      <c r="L2" s="691"/>
      <c r="M2" s="691" t="s">
        <v>29</v>
      </c>
      <c r="N2" s="691"/>
      <c r="O2" s="691"/>
      <c r="P2" s="691"/>
      <c r="Q2" s="691"/>
      <c r="R2" s="691"/>
      <c r="S2" s="691" t="s">
        <v>29</v>
      </c>
      <c r="T2" s="691"/>
      <c r="U2" s="691"/>
      <c r="V2" s="691"/>
      <c r="W2" s="691"/>
      <c r="X2" s="691"/>
      <c r="Y2" s="691" t="s">
        <v>29</v>
      </c>
      <c r="Z2" s="691"/>
      <c r="AA2" s="691"/>
      <c r="AB2" s="691"/>
      <c r="AC2" s="691"/>
      <c r="AD2" s="691"/>
      <c r="AE2" s="691" t="s">
        <v>29</v>
      </c>
      <c r="AF2" s="691"/>
      <c r="AG2" s="691"/>
      <c r="AH2" s="691"/>
      <c r="AI2" s="691"/>
      <c r="AJ2" s="691"/>
    </row>
    <row r="3" spans="1:36" ht="18.75">
      <c r="A3" s="691" t="s">
        <v>185</v>
      </c>
      <c r="B3" s="691"/>
      <c r="C3" s="691"/>
      <c r="D3" s="691"/>
      <c r="E3" s="691"/>
      <c r="F3" s="691"/>
      <c r="G3" s="691" t="s">
        <v>185</v>
      </c>
      <c r="H3" s="691"/>
      <c r="I3" s="691"/>
      <c r="J3" s="691"/>
      <c r="K3" s="691"/>
      <c r="L3" s="691"/>
      <c r="M3" s="691" t="s">
        <v>185</v>
      </c>
      <c r="N3" s="691"/>
      <c r="O3" s="691"/>
      <c r="P3" s="691"/>
      <c r="Q3" s="691"/>
      <c r="R3" s="691"/>
      <c r="S3" s="691" t="s">
        <v>185</v>
      </c>
      <c r="T3" s="691"/>
      <c r="U3" s="691"/>
      <c r="V3" s="691"/>
      <c r="W3" s="691"/>
      <c r="X3" s="691"/>
      <c r="Y3" s="691" t="s">
        <v>185</v>
      </c>
      <c r="Z3" s="691"/>
      <c r="AA3" s="691"/>
      <c r="AB3" s="691"/>
      <c r="AC3" s="691"/>
      <c r="AD3" s="691"/>
      <c r="AE3" s="691" t="s">
        <v>185</v>
      </c>
      <c r="AF3" s="691"/>
      <c r="AG3" s="691"/>
      <c r="AH3" s="691"/>
      <c r="AI3" s="691"/>
      <c r="AJ3" s="691"/>
    </row>
    <row r="4" spans="1:36" ht="16.5" customHeight="1">
      <c r="A4" s="691" t="s">
        <v>587</v>
      </c>
      <c r="B4" s="691"/>
      <c r="C4" s="691"/>
      <c r="D4" s="691"/>
      <c r="E4" s="691"/>
      <c r="F4" s="691"/>
      <c r="G4" s="691" t="s">
        <v>612</v>
      </c>
      <c r="H4" s="691"/>
      <c r="I4" s="691"/>
      <c r="J4" s="691"/>
      <c r="K4" s="691"/>
      <c r="L4" s="691"/>
      <c r="M4" s="691" t="s">
        <v>635</v>
      </c>
      <c r="N4" s="691"/>
      <c r="O4" s="691"/>
      <c r="P4" s="691"/>
      <c r="Q4" s="691"/>
      <c r="R4" s="691"/>
      <c r="S4" s="691" t="s">
        <v>663</v>
      </c>
      <c r="T4" s="691"/>
      <c r="U4" s="691"/>
      <c r="V4" s="691"/>
      <c r="W4" s="691"/>
      <c r="X4" s="691"/>
      <c r="Y4" s="691" t="s">
        <v>686</v>
      </c>
      <c r="Z4" s="691"/>
      <c r="AA4" s="691"/>
      <c r="AB4" s="691"/>
      <c r="AC4" s="691"/>
      <c r="AD4" s="691"/>
      <c r="AE4" s="691" t="s">
        <v>734</v>
      </c>
      <c r="AF4" s="691"/>
      <c r="AG4" s="691"/>
      <c r="AH4" s="691"/>
      <c r="AI4" s="691"/>
      <c r="AJ4" s="691"/>
    </row>
    <row r="5" spans="1:36" s="593" customFormat="1" ht="37.5">
      <c r="A5" s="733" t="s">
        <v>0</v>
      </c>
      <c r="B5" s="735"/>
      <c r="C5" s="360" t="s">
        <v>139</v>
      </c>
      <c r="D5" s="360" t="s">
        <v>16</v>
      </c>
      <c r="E5" s="360" t="s">
        <v>186</v>
      </c>
      <c r="F5" s="360" t="s">
        <v>211</v>
      </c>
      <c r="G5" s="733" t="s">
        <v>0</v>
      </c>
      <c r="H5" s="735"/>
      <c r="I5" s="360" t="s">
        <v>139</v>
      </c>
      <c r="J5" s="360" t="s">
        <v>16</v>
      </c>
      <c r="K5" s="360" t="s">
        <v>186</v>
      </c>
      <c r="L5" s="360" t="s">
        <v>211</v>
      </c>
      <c r="M5" s="733" t="s">
        <v>0</v>
      </c>
      <c r="N5" s="735"/>
      <c r="O5" s="360" t="s">
        <v>139</v>
      </c>
      <c r="P5" s="360" t="s">
        <v>16</v>
      </c>
      <c r="Q5" s="360" t="s">
        <v>186</v>
      </c>
      <c r="R5" s="360" t="s">
        <v>211</v>
      </c>
      <c r="S5" s="733" t="s">
        <v>0</v>
      </c>
      <c r="T5" s="735"/>
      <c r="U5" s="360" t="s">
        <v>139</v>
      </c>
      <c r="V5" s="360" t="s">
        <v>16</v>
      </c>
      <c r="W5" s="360" t="s">
        <v>186</v>
      </c>
      <c r="X5" s="360" t="s">
        <v>211</v>
      </c>
      <c r="Y5" s="733" t="s">
        <v>0</v>
      </c>
      <c r="Z5" s="735"/>
      <c r="AA5" s="360" t="s">
        <v>139</v>
      </c>
      <c r="AB5" s="360" t="s">
        <v>16</v>
      </c>
      <c r="AC5" s="360" t="s">
        <v>186</v>
      </c>
      <c r="AD5" s="360" t="s">
        <v>211</v>
      </c>
      <c r="AE5" s="733" t="s">
        <v>0</v>
      </c>
      <c r="AF5" s="735"/>
      <c r="AG5" s="360" t="s">
        <v>139</v>
      </c>
      <c r="AH5" s="360" t="s">
        <v>16</v>
      </c>
      <c r="AI5" s="360" t="s">
        <v>186</v>
      </c>
      <c r="AJ5" s="592" t="s">
        <v>733</v>
      </c>
    </row>
    <row r="6" spans="1:36" s="108" customFormat="1" ht="18.75">
      <c r="A6" s="411" t="s">
        <v>95</v>
      </c>
      <c r="B6" s="412"/>
      <c r="C6" s="139"/>
      <c r="D6" s="413"/>
      <c r="E6" s="413"/>
      <c r="F6" s="413"/>
      <c r="G6" s="411" t="s">
        <v>95</v>
      </c>
      <c r="H6" s="412"/>
      <c r="I6" s="139"/>
      <c r="J6" s="413"/>
      <c r="K6" s="413"/>
      <c r="L6" s="413"/>
      <c r="M6" s="411" t="s">
        <v>95</v>
      </c>
      <c r="N6" s="412"/>
      <c r="O6" s="139"/>
      <c r="P6" s="413"/>
      <c r="Q6" s="413"/>
      <c r="R6" s="413"/>
      <c r="S6" s="411" t="s">
        <v>95</v>
      </c>
      <c r="T6" s="412"/>
      <c r="U6" s="139"/>
      <c r="V6" s="413"/>
      <c r="W6" s="413"/>
      <c r="X6" s="413"/>
      <c r="Y6" s="411" t="s">
        <v>95</v>
      </c>
      <c r="Z6" s="412"/>
      <c r="AA6" s="139"/>
      <c r="AB6" s="413"/>
      <c r="AC6" s="413"/>
      <c r="AD6" s="413"/>
      <c r="AE6" s="411" t="s">
        <v>95</v>
      </c>
      <c r="AF6" s="412"/>
      <c r="AG6" s="139"/>
      <c r="AH6" s="413"/>
      <c r="AI6" s="413"/>
      <c r="AJ6" s="413"/>
    </row>
    <row r="7" spans="1:36" s="108" customFormat="1" ht="18.75">
      <c r="A7" s="414" t="s">
        <v>96</v>
      </c>
      <c r="B7" s="415"/>
      <c r="C7" s="139">
        <v>411000</v>
      </c>
      <c r="D7" s="413"/>
      <c r="E7" s="413"/>
      <c r="F7" s="413"/>
      <c r="G7" s="414" t="s">
        <v>96</v>
      </c>
      <c r="H7" s="415"/>
      <c r="I7" s="139">
        <v>411000</v>
      </c>
      <c r="J7" s="413"/>
      <c r="K7" s="413"/>
      <c r="L7" s="413"/>
      <c r="M7" s="414" t="s">
        <v>96</v>
      </c>
      <c r="N7" s="415"/>
      <c r="O7" s="139">
        <v>411000</v>
      </c>
      <c r="P7" s="413"/>
      <c r="Q7" s="413"/>
      <c r="R7" s="413"/>
      <c r="S7" s="414" t="s">
        <v>96</v>
      </c>
      <c r="T7" s="415"/>
      <c r="U7" s="139">
        <v>411000</v>
      </c>
      <c r="V7" s="413"/>
      <c r="W7" s="413"/>
      <c r="X7" s="413"/>
      <c r="Y7" s="414" t="s">
        <v>96</v>
      </c>
      <c r="Z7" s="415"/>
      <c r="AA7" s="139">
        <v>411000</v>
      </c>
      <c r="AB7" s="413"/>
      <c r="AC7" s="413"/>
      <c r="AD7" s="413"/>
      <c r="AE7" s="414" t="s">
        <v>96</v>
      </c>
      <c r="AF7" s="415"/>
      <c r="AG7" s="139">
        <v>411000</v>
      </c>
      <c r="AH7" s="413"/>
      <c r="AI7" s="413"/>
      <c r="AJ7" s="413"/>
    </row>
    <row r="8" spans="1:36" ht="18.75">
      <c r="A8" s="123" t="s">
        <v>187</v>
      </c>
      <c r="B8" s="126"/>
      <c r="C8" s="146">
        <v>411001</v>
      </c>
      <c r="D8" s="125">
        <v>160000</v>
      </c>
      <c r="E8" s="125">
        <f>SUM(งบดุลบัญชี!H51)</f>
        <v>0</v>
      </c>
      <c r="F8" s="125">
        <f>SUM(E8)</f>
        <v>0</v>
      </c>
      <c r="G8" s="123" t="s">
        <v>187</v>
      </c>
      <c r="H8" s="126"/>
      <c r="I8" s="146">
        <v>411001</v>
      </c>
      <c r="J8" s="125">
        <v>160000</v>
      </c>
      <c r="K8" s="125">
        <f>SUM(งบดุลบัญชี!N51)</f>
        <v>0</v>
      </c>
      <c r="L8" s="125">
        <f>SUM(+F8+K8)</f>
        <v>0</v>
      </c>
      <c r="M8" s="123" t="s">
        <v>187</v>
      </c>
      <c r="N8" s="126"/>
      <c r="O8" s="146">
        <v>411001</v>
      </c>
      <c r="P8" s="125">
        <v>160000</v>
      </c>
      <c r="Q8" s="125">
        <v>0</v>
      </c>
      <c r="R8" s="125">
        <f>SUM(+L8+Q8)</f>
        <v>0</v>
      </c>
      <c r="S8" s="123" t="s">
        <v>187</v>
      </c>
      <c r="T8" s="126"/>
      <c r="U8" s="146">
        <v>411001</v>
      </c>
      <c r="V8" s="125">
        <v>160000</v>
      </c>
      <c r="W8" s="125">
        <v>18998</v>
      </c>
      <c r="X8" s="125">
        <f>SUM(+R8+W8)</f>
        <v>18998</v>
      </c>
      <c r="Y8" s="123" t="s">
        <v>187</v>
      </c>
      <c r="Z8" s="126"/>
      <c r="AA8" s="146">
        <v>411001</v>
      </c>
      <c r="AB8" s="125">
        <v>160000</v>
      </c>
      <c r="AC8" s="125">
        <v>58279</v>
      </c>
      <c r="AD8" s="125">
        <f>SUM(+X8+AC8)</f>
        <v>77277</v>
      </c>
      <c r="AE8" s="123" t="s">
        <v>187</v>
      </c>
      <c r="AF8" s="126"/>
      <c r="AG8" s="146">
        <v>411001</v>
      </c>
      <c r="AH8" s="125">
        <v>160000</v>
      </c>
      <c r="AI8" s="125">
        <v>71911</v>
      </c>
      <c r="AJ8" s="125">
        <f>SUM(+AD8+AI8)</f>
        <v>149188</v>
      </c>
    </row>
    <row r="9" spans="1:36" ht="18.75">
      <c r="A9" s="123" t="s">
        <v>188</v>
      </c>
      <c r="B9" s="126"/>
      <c r="C9" s="146">
        <v>411002</v>
      </c>
      <c r="D9" s="125">
        <v>22000</v>
      </c>
      <c r="E9" s="125">
        <v>34.5</v>
      </c>
      <c r="F9" s="125">
        <f>SUM(E9)</f>
        <v>34.5</v>
      </c>
      <c r="G9" s="123" t="s">
        <v>188</v>
      </c>
      <c r="H9" s="126"/>
      <c r="I9" s="146">
        <v>411002</v>
      </c>
      <c r="J9" s="125">
        <v>22000</v>
      </c>
      <c r="K9" s="125">
        <v>0</v>
      </c>
      <c r="L9" s="125">
        <f>SUM(+F9+K9)</f>
        <v>34.5</v>
      </c>
      <c r="M9" s="123" t="s">
        <v>188</v>
      </c>
      <c r="N9" s="126"/>
      <c r="O9" s="146">
        <v>411002</v>
      </c>
      <c r="P9" s="125">
        <v>22000</v>
      </c>
      <c r="Q9" s="125">
        <v>0</v>
      </c>
      <c r="R9" s="125">
        <f>SUM(+L9+Q9)</f>
        <v>34.5</v>
      </c>
      <c r="S9" s="123" t="s">
        <v>188</v>
      </c>
      <c r="T9" s="126"/>
      <c r="U9" s="146">
        <v>411002</v>
      </c>
      <c r="V9" s="125">
        <v>22000</v>
      </c>
      <c r="W9" s="125">
        <v>1324.25</v>
      </c>
      <c r="X9" s="125">
        <f>SUM(+R9+W9)</f>
        <v>1358.75</v>
      </c>
      <c r="Y9" s="123" t="s">
        <v>188</v>
      </c>
      <c r="Z9" s="126"/>
      <c r="AA9" s="146">
        <v>411002</v>
      </c>
      <c r="AB9" s="125">
        <v>22000</v>
      </c>
      <c r="AC9" s="125">
        <v>1087.73</v>
      </c>
      <c r="AD9" s="125">
        <f>SUM(+X9+AC9)</f>
        <v>2446.48</v>
      </c>
      <c r="AE9" s="123" t="s">
        <v>188</v>
      </c>
      <c r="AF9" s="126"/>
      <c r="AG9" s="146">
        <v>411002</v>
      </c>
      <c r="AH9" s="125">
        <v>22000</v>
      </c>
      <c r="AI9" s="125">
        <v>3676.33</v>
      </c>
      <c r="AJ9" s="125">
        <f>SUM(+AD9+AI9)</f>
        <v>6122.8099999999995</v>
      </c>
    </row>
    <row r="10" spans="1:36" ht="18.75">
      <c r="A10" s="123" t="s">
        <v>189</v>
      </c>
      <c r="B10" s="126"/>
      <c r="C10" s="146">
        <v>411003</v>
      </c>
      <c r="D10" s="125">
        <v>9000</v>
      </c>
      <c r="E10" s="125">
        <f>SUM(งบดุลบัญชี!H53)</f>
        <v>0</v>
      </c>
      <c r="F10" s="125">
        <f>SUM(E10)</f>
        <v>0</v>
      </c>
      <c r="G10" s="123" t="s">
        <v>189</v>
      </c>
      <c r="H10" s="126"/>
      <c r="I10" s="146">
        <v>411003</v>
      </c>
      <c r="J10" s="125">
        <v>9000</v>
      </c>
      <c r="K10" s="125">
        <f>SUM(งบดุลบัญชี!N53)</f>
        <v>0</v>
      </c>
      <c r="L10" s="125">
        <f>SUM(+F10+K10)</f>
        <v>0</v>
      </c>
      <c r="M10" s="123" t="s">
        <v>189</v>
      </c>
      <c r="N10" s="126"/>
      <c r="O10" s="146">
        <v>411003</v>
      </c>
      <c r="P10" s="125">
        <v>9000</v>
      </c>
      <c r="Q10" s="125">
        <v>0</v>
      </c>
      <c r="R10" s="125">
        <f>SUM(+L10+Q10)</f>
        <v>0</v>
      </c>
      <c r="S10" s="123" t="s">
        <v>189</v>
      </c>
      <c r="T10" s="126"/>
      <c r="U10" s="146">
        <v>411003</v>
      </c>
      <c r="V10" s="125">
        <v>9000</v>
      </c>
      <c r="W10" s="125">
        <v>200</v>
      </c>
      <c r="X10" s="125">
        <f>SUM(+R10+W10)</f>
        <v>200</v>
      </c>
      <c r="Y10" s="123" t="s">
        <v>189</v>
      </c>
      <c r="Z10" s="126"/>
      <c r="AA10" s="146">
        <v>411003</v>
      </c>
      <c r="AB10" s="125">
        <v>9000</v>
      </c>
      <c r="AC10" s="125">
        <v>2448</v>
      </c>
      <c r="AD10" s="125">
        <f>SUM(+X10+AC10)</f>
        <v>2648</v>
      </c>
      <c r="AE10" s="123" t="s">
        <v>189</v>
      </c>
      <c r="AF10" s="126"/>
      <c r="AG10" s="146">
        <v>411003</v>
      </c>
      <c r="AH10" s="125">
        <v>9000</v>
      </c>
      <c r="AI10" s="125">
        <v>1860</v>
      </c>
      <c r="AJ10" s="125">
        <f>SUM(+AD10+AI10)</f>
        <v>4508</v>
      </c>
    </row>
    <row r="11" spans="1:36" s="108" customFormat="1" ht="18.75">
      <c r="A11" s="132" t="s">
        <v>17</v>
      </c>
      <c r="B11" s="388"/>
      <c r="C11" s="139"/>
      <c r="D11" s="29">
        <f>SUM(D8:D10)</f>
        <v>191000</v>
      </c>
      <c r="E11" s="29">
        <f>SUM(E8:E10)</f>
        <v>34.5</v>
      </c>
      <c r="F11" s="29">
        <f>SUM(F8:F10)</f>
        <v>34.5</v>
      </c>
      <c r="G11" s="132" t="s">
        <v>17</v>
      </c>
      <c r="H11" s="442"/>
      <c r="I11" s="139"/>
      <c r="J11" s="29">
        <f>SUM(J8:J10)</f>
        <v>191000</v>
      </c>
      <c r="K11" s="29">
        <f>SUM(K8:K10)</f>
        <v>0</v>
      </c>
      <c r="L11" s="29">
        <f>SUM(L8:L10)</f>
        <v>34.5</v>
      </c>
      <c r="M11" s="132" t="s">
        <v>17</v>
      </c>
      <c r="N11" s="484"/>
      <c r="O11" s="139"/>
      <c r="P11" s="29">
        <f>SUM(P8:P10)</f>
        <v>191000</v>
      </c>
      <c r="Q11" s="29">
        <f>SUM(Q8:Q10)</f>
        <v>0</v>
      </c>
      <c r="R11" s="29">
        <f>SUM(R8:R10)</f>
        <v>34.5</v>
      </c>
      <c r="S11" s="132" t="s">
        <v>17</v>
      </c>
      <c r="T11" s="494"/>
      <c r="U11" s="139"/>
      <c r="V11" s="29">
        <f>SUM(V8:V10)</f>
        <v>191000</v>
      </c>
      <c r="W11" s="29">
        <f>SUM(W8:W10)</f>
        <v>20522.25</v>
      </c>
      <c r="X11" s="29">
        <f>SUM(X8:X10)</f>
        <v>20556.75</v>
      </c>
      <c r="Y11" s="132" t="s">
        <v>17</v>
      </c>
      <c r="Z11" s="523"/>
      <c r="AA11" s="139"/>
      <c r="AB11" s="29">
        <f>SUM(AB8:AB10)</f>
        <v>191000</v>
      </c>
      <c r="AC11" s="29">
        <f>SUM(AC8:AC10)</f>
        <v>61814.73</v>
      </c>
      <c r="AD11" s="29">
        <f>SUM(AD8:AD10)</f>
        <v>82371.48</v>
      </c>
      <c r="AE11" s="132" t="s">
        <v>17</v>
      </c>
      <c r="AF11" s="573"/>
      <c r="AG11" s="139"/>
      <c r="AH11" s="29">
        <f>SUM(AH8:AH10)</f>
        <v>191000</v>
      </c>
      <c r="AI11" s="29">
        <f>SUM(AI8:AI10)</f>
        <v>77447.33</v>
      </c>
      <c r="AJ11" s="29">
        <f>SUM(AJ8:AJ10)</f>
        <v>159818.81</v>
      </c>
    </row>
    <row r="12" spans="1:36" s="108" customFormat="1" ht="18.75">
      <c r="A12" s="414" t="s">
        <v>97</v>
      </c>
      <c r="B12" s="415"/>
      <c r="C12" s="139">
        <v>412000</v>
      </c>
      <c r="D12" s="413"/>
      <c r="E12" s="413"/>
      <c r="F12" s="413"/>
      <c r="G12" s="414" t="s">
        <v>97</v>
      </c>
      <c r="H12" s="415"/>
      <c r="I12" s="139">
        <v>412000</v>
      </c>
      <c r="J12" s="413"/>
      <c r="K12" s="413"/>
      <c r="L12" s="413"/>
      <c r="M12" s="414" t="s">
        <v>97</v>
      </c>
      <c r="N12" s="415"/>
      <c r="O12" s="139">
        <v>412000</v>
      </c>
      <c r="P12" s="413"/>
      <c r="Q12" s="413"/>
      <c r="R12" s="413"/>
      <c r="S12" s="414" t="s">
        <v>97</v>
      </c>
      <c r="T12" s="415"/>
      <c r="U12" s="139">
        <v>412000</v>
      </c>
      <c r="V12" s="413"/>
      <c r="W12" s="413"/>
      <c r="X12" s="413"/>
      <c r="Y12" s="414" t="s">
        <v>97</v>
      </c>
      <c r="Z12" s="415"/>
      <c r="AA12" s="139">
        <v>412000</v>
      </c>
      <c r="AB12" s="413"/>
      <c r="AC12" s="413"/>
      <c r="AD12" s="413"/>
      <c r="AE12" s="414" t="s">
        <v>97</v>
      </c>
      <c r="AF12" s="415"/>
      <c r="AG12" s="139">
        <v>412000</v>
      </c>
      <c r="AH12" s="413"/>
      <c r="AI12" s="413"/>
      <c r="AJ12" s="413"/>
    </row>
    <row r="13" spans="1:36" ht="18.75">
      <c r="A13" s="123"/>
      <c r="B13" s="126"/>
      <c r="C13" s="146"/>
      <c r="D13" s="125"/>
      <c r="E13" s="125"/>
      <c r="F13" s="125"/>
      <c r="G13" s="123"/>
      <c r="H13" s="126"/>
      <c r="I13" s="146"/>
      <c r="J13" s="125"/>
      <c r="K13" s="125"/>
      <c r="L13" s="125"/>
      <c r="M13" s="123"/>
      <c r="N13" s="126"/>
      <c r="O13" s="146"/>
      <c r="P13" s="125"/>
      <c r="Q13" s="125"/>
      <c r="R13" s="125"/>
      <c r="S13" s="123"/>
      <c r="T13" s="126"/>
      <c r="U13" s="146"/>
      <c r="V13" s="125"/>
      <c r="W13" s="125"/>
      <c r="X13" s="125"/>
      <c r="Y13" s="123" t="s">
        <v>687</v>
      </c>
      <c r="Z13" s="126"/>
      <c r="AA13" s="146">
        <v>412103</v>
      </c>
      <c r="AB13" s="125">
        <v>0</v>
      </c>
      <c r="AC13" s="125">
        <v>19.4</v>
      </c>
      <c r="AD13" s="125">
        <f>+AC13</f>
        <v>19.4</v>
      </c>
      <c r="AE13" s="123" t="s">
        <v>687</v>
      </c>
      <c r="AF13" s="126"/>
      <c r="AG13" s="146">
        <v>412103</v>
      </c>
      <c r="AH13" s="125">
        <v>0</v>
      </c>
      <c r="AI13" s="125">
        <v>19.4</v>
      </c>
      <c r="AJ13" s="125">
        <f>+AI13+AD13</f>
        <v>38.8</v>
      </c>
    </row>
    <row r="14" spans="1:36" ht="18.75">
      <c r="A14" s="123" t="s">
        <v>597</v>
      </c>
      <c r="B14" s="126"/>
      <c r="C14" s="146">
        <v>412104</v>
      </c>
      <c r="D14" s="125">
        <v>150000</v>
      </c>
      <c r="E14" s="125">
        <v>11440</v>
      </c>
      <c r="F14" s="125">
        <f>+E14</f>
        <v>11440</v>
      </c>
      <c r="G14" s="123" t="s">
        <v>597</v>
      </c>
      <c r="H14" s="126"/>
      <c r="I14" s="146">
        <v>412104</v>
      </c>
      <c r="J14" s="125">
        <v>150000</v>
      </c>
      <c r="K14" s="125">
        <v>10120</v>
      </c>
      <c r="L14" s="125">
        <f>SUM(+F14+K14)</f>
        <v>21560</v>
      </c>
      <c r="M14" s="123" t="s">
        <v>597</v>
      </c>
      <c r="N14" s="126"/>
      <c r="O14" s="146">
        <v>412104</v>
      </c>
      <c r="P14" s="125">
        <v>150000</v>
      </c>
      <c r="Q14" s="125">
        <v>16220</v>
      </c>
      <c r="R14" s="125">
        <f aca="true" t="shared" si="0" ref="R14:R23">SUM(+L14+Q14)</f>
        <v>37780</v>
      </c>
      <c r="S14" s="123" t="s">
        <v>597</v>
      </c>
      <c r="T14" s="126"/>
      <c r="U14" s="146">
        <v>412104</v>
      </c>
      <c r="V14" s="125">
        <v>150000</v>
      </c>
      <c r="W14" s="125">
        <v>13580</v>
      </c>
      <c r="X14" s="125">
        <f aca="true" t="shared" si="1" ref="X14:X23">SUM(+R14+W14)</f>
        <v>51360</v>
      </c>
      <c r="Y14" s="123" t="s">
        <v>688</v>
      </c>
      <c r="Z14" s="126"/>
      <c r="AA14" s="146">
        <v>412104</v>
      </c>
      <c r="AB14" s="125">
        <v>150000</v>
      </c>
      <c r="AC14" s="125">
        <v>18000</v>
      </c>
      <c r="AD14" s="125">
        <f aca="true" t="shared" si="2" ref="AD14:AD23">SUM(+X14+AC14)</f>
        <v>69360</v>
      </c>
      <c r="AE14" s="123" t="s">
        <v>688</v>
      </c>
      <c r="AF14" s="126"/>
      <c r="AG14" s="146">
        <v>412104</v>
      </c>
      <c r="AH14" s="125">
        <v>150000</v>
      </c>
      <c r="AI14" s="125">
        <v>10940</v>
      </c>
      <c r="AJ14" s="125">
        <f aca="true" t="shared" si="3" ref="AJ14:AJ23">+AI14+AD14</f>
        <v>80300</v>
      </c>
    </row>
    <row r="15" spans="1:36" ht="18.75">
      <c r="A15" s="384" t="s">
        <v>598</v>
      </c>
      <c r="B15" s="126"/>
      <c r="C15" s="146">
        <v>412109</v>
      </c>
      <c r="D15" s="125">
        <v>5000</v>
      </c>
      <c r="E15" s="125"/>
      <c r="F15" s="125">
        <f>+E15</f>
        <v>0</v>
      </c>
      <c r="G15" s="439" t="s">
        <v>598</v>
      </c>
      <c r="H15" s="126"/>
      <c r="I15" s="146">
        <v>412109</v>
      </c>
      <c r="J15" s="125">
        <v>5000</v>
      </c>
      <c r="K15" s="125">
        <v>0</v>
      </c>
      <c r="L15" s="125">
        <f aca="true" t="shared" si="4" ref="L15:L22">SUM(+F15+K15)</f>
        <v>0</v>
      </c>
      <c r="M15" s="483" t="s">
        <v>598</v>
      </c>
      <c r="N15" s="126"/>
      <c r="O15" s="146">
        <v>412109</v>
      </c>
      <c r="P15" s="125">
        <v>5000</v>
      </c>
      <c r="Q15" s="125">
        <v>0</v>
      </c>
      <c r="R15" s="125">
        <f t="shared" si="0"/>
        <v>0</v>
      </c>
      <c r="S15" s="490" t="s">
        <v>598</v>
      </c>
      <c r="T15" s="126"/>
      <c r="U15" s="146">
        <v>412109</v>
      </c>
      <c r="V15" s="125">
        <v>5000</v>
      </c>
      <c r="W15" s="125">
        <v>0</v>
      </c>
      <c r="X15" s="125">
        <f t="shared" si="1"/>
        <v>0</v>
      </c>
      <c r="Y15" s="514" t="s">
        <v>689</v>
      </c>
      <c r="Z15" s="126"/>
      <c r="AA15" s="146">
        <v>412109</v>
      </c>
      <c r="AB15" s="125">
        <v>5000</v>
      </c>
      <c r="AC15" s="125">
        <v>0</v>
      </c>
      <c r="AD15" s="125">
        <f t="shared" si="2"/>
        <v>0</v>
      </c>
      <c r="AE15" s="569" t="s">
        <v>689</v>
      </c>
      <c r="AF15" s="126"/>
      <c r="AG15" s="146">
        <v>412109</v>
      </c>
      <c r="AH15" s="125">
        <v>5000</v>
      </c>
      <c r="AI15" s="125">
        <v>0</v>
      </c>
      <c r="AJ15" s="125">
        <f t="shared" si="3"/>
        <v>0</v>
      </c>
    </row>
    <row r="16" spans="1:36" ht="18.75">
      <c r="A16" s="123" t="s">
        <v>190</v>
      </c>
      <c r="B16" s="126"/>
      <c r="C16" s="146">
        <v>412112</v>
      </c>
      <c r="D16" s="125">
        <v>3000</v>
      </c>
      <c r="E16" s="125">
        <f>SUM(งบดุลบัญชี!H58)</f>
        <v>200</v>
      </c>
      <c r="F16" s="125">
        <f aca="true" t="shared" si="5" ref="F16:F23">+E16</f>
        <v>200</v>
      </c>
      <c r="G16" s="123" t="s">
        <v>190</v>
      </c>
      <c r="H16" s="126"/>
      <c r="I16" s="146">
        <v>412112</v>
      </c>
      <c r="J16" s="125">
        <v>3000</v>
      </c>
      <c r="K16" s="125">
        <f>SUM(งบดุลบัญชี!N58)</f>
        <v>230</v>
      </c>
      <c r="L16" s="125">
        <f t="shared" si="4"/>
        <v>430</v>
      </c>
      <c r="M16" s="123" t="s">
        <v>190</v>
      </c>
      <c r="N16" s="126"/>
      <c r="O16" s="146">
        <v>412112</v>
      </c>
      <c r="P16" s="125">
        <v>3000</v>
      </c>
      <c r="Q16" s="125">
        <v>160</v>
      </c>
      <c r="R16" s="125">
        <f t="shared" si="0"/>
        <v>590</v>
      </c>
      <c r="S16" s="123" t="s">
        <v>190</v>
      </c>
      <c r="T16" s="126"/>
      <c r="U16" s="146">
        <v>412112</v>
      </c>
      <c r="V16" s="125">
        <v>3000</v>
      </c>
      <c r="W16" s="125">
        <v>120</v>
      </c>
      <c r="X16" s="125">
        <f t="shared" si="1"/>
        <v>710</v>
      </c>
      <c r="Y16" s="123" t="s">
        <v>690</v>
      </c>
      <c r="Z16" s="126"/>
      <c r="AA16" s="146">
        <v>412112</v>
      </c>
      <c r="AB16" s="125">
        <v>3000</v>
      </c>
      <c r="AC16" s="125">
        <v>230</v>
      </c>
      <c r="AD16" s="125">
        <f t="shared" si="2"/>
        <v>940</v>
      </c>
      <c r="AE16" s="123" t="s">
        <v>690</v>
      </c>
      <c r="AF16" s="126"/>
      <c r="AG16" s="146">
        <v>412112</v>
      </c>
      <c r="AH16" s="125">
        <v>3000</v>
      </c>
      <c r="AI16" s="125">
        <v>320</v>
      </c>
      <c r="AJ16" s="125">
        <f t="shared" si="3"/>
        <v>1260</v>
      </c>
    </row>
    <row r="17" spans="1:36" ht="18.75">
      <c r="A17" s="123" t="s">
        <v>599</v>
      </c>
      <c r="B17" s="126"/>
      <c r="C17" s="146">
        <v>412128</v>
      </c>
      <c r="D17" s="125">
        <v>1000</v>
      </c>
      <c r="E17" s="125">
        <v>100</v>
      </c>
      <c r="F17" s="125">
        <f t="shared" si="5"/>
        <v>100</v>
      </c>
      <c r="G17" s="123" t="s">
        <v>599</v>
      </c>
      <c r="H17" s="126"/>
      <c r="I17" s="146">
        <v>412128</v>
      </c>
      <c r="J17" s="125">
        <v>1000</v>
      </c>
      <c r="K17" s="125">
        <v>100</v>
      </c>
      <c r="L17" s="125">
        <f t="shared" si="4"/>
        <v>200</v>
      </c>
      <c r="M17" s="123" t="s">
        <v>599</v>
      </c>
      <c r="N17" s="126"/>
      <c r="O17" s="146">
        <v>412128</v>
      </c>
      <c r="P17" s="125">
        <v>1000</v>
      </c>
      <c r="Q17" s="125">
        <v>20</v>
      </c>
      <c r="R17" s="125">
        <f t="shared" si="0"/>
        <v>220</v>
      </c>
      <c r="S17" s="123" t="s">
        <v>599</v>
      </c>
      <c r="T17" s="126"/>
      <c r="U17" s="146">
        <v>412128</v>
      </c>
      <c r="V17" s="125">
        <v>1000</v>
      </c>
      <c r="W17" s="125">
        <v>20</v>
      </c>
      <c r="X17" s="125">
        <f t="shared" si="1"/>
        <v>240</v>
      </c>
      <c r="Y17" s="123" t="s">
        <v>691</v>
      </c>
      <c r="Z17" s="126"/>
      <c r="AA17" s="146">
        <v>412128</v>
      </c>
      <c r="AB17" s="125">
        <v>1000</v>
      </c>
      <c r="AC17" s="125">
        <v>170</v>
      </c>
      <c r="AD17" s="125">
        <f t="shared" si="2"/>
        <v>410</v>
      </c>
      <c r="AE17" s="123" t="s">
        <v>691</v>
      </c>
      <c r="AF17" s="126"/>
      <c r="AG17" s="146">
        <v>412128</v>
      </c>
      <c r="AH17" s="125">
        <v>1000</v>
      </c>
      <c r="AI17" s="125">
        <v>50</v>
      </c>
      <c r="AJ17" s="125">
        <f t="shared" si="3"/>
        <v>460</v>
      </c>
    </row>
    <row r="18" spans="1:36" ht="18.75">
      <c r="A18" s="123" t="s">
        <v>589</v>
      </c>
      <c r="B18" s="126"/>
      <c r="C18" s="146">
        <v>412199</v>
      </c>
      <c r="D18" s="125">
        <v>700</v>
      </c>
      <c r="E18" s="125">
        <v>40</v>
      </c>
      <c r="F18" s="125">
        <f t="shared" si="5"/>
        <v>40</v>
      </c>
      <c r="G18" s="123" t="s">
        <v>589</v>
      </c>
      <c r="H18" s="126"/>
      <c r="I18" s="146">
        <v>412199</v>
      </c>
      <c r="J18" s="125">
        <v>700</v>
      </c>
      <c r="K18" s="125">
        <v>40</v>
      </c>
      <c r="L18" s="125">
        <f t="shared" si="4"/>
        <v>80</v>
      </c>
      <c r="M18" s="123" t="s">
        <v>589</v>
      </c>
      <c r="N18" s="126"/>
      <c r="O18" s="146">
        <v>412199</v>
      </c>
      <c r="P18" s="125">
        <v>700</v>
      </c>
      <c r="Q18" s="125">
        <v>20</v>
      </c>
      <c r="R18" s="125">
        <f t="shared" si="0"/>
        <v>100</v>
      </c>
      <c r="S18" s="123" t="s">
        <v>589</v>
      </c>
      <c r="T18" s="126"/>
      <c r="U18" s="146">
        <v>412199</v>
      </c>
      <c r="V18" s="125">
        <v>700</v>
      </c>
      <c r="W18" s="125">
        <v>20</v>
      </c>
      <c r="X18" s="125">
        <f t="shared" si="1"/>
        <v>120</v>
      </c>
      <c r="Y18" s="123" t="s">
        <v>692</v>
      </c>
      <c r="Z18" s="126"/>
      <c r="AA18" s="146">
        <v>412199</v>
      </c>
      <c r="AB18" s="125">
        <v>700</v>
      </c>
      <c r="AC18" s="125">
        <v>160</v>
      </c>
      <c r="AD18" s="125">
        <f t="shared" si="2"/>
        <v>280</v>
      </c>
      <c r="AE18" s="123" t="s">
        <v>692</v>
      </c>
      <c r="AF18" s="126"/>
      <c r="AG18" s="146">
        <v>412199</v>
      </c>
      <c r="AH18" s="125">
        <v>700</v>
      </c>
      <c r="AI18" s="125">
        <v>800</v>
      </c>
      <c r="AJ18" s="125">
        <f t="shared" si="3"/>
        <v>1080</v>
      </c>
    </row>
    <row r="19" spans="1:36" ht="18.75">
      <c r="A19" s="123" t="s">
        <v>590</v>
      </c>
      <c r="B19" s="126"/>
      <c r="C19" s="146">
        <v>412202</v>
      </c>
      <c r="D19" s="125">
        <v>2000</v>
      </c>
      <c r="E19" s="125">
        <f>SUM(งบดุลบัญชี!H61)</f>
        <v>0</v>
      </c>
      <c r="F19" s="125">
        <f t="shared" si="5"/>
        <v>0</v>
      </c>
      <c r="G19" s="123" t="s">
        <v>590</v>
      </c>
      <c r="H19" s="126"/>
      <c r="I19" s="146">
        <v>412202</v>
      </c>
      <c r="J19" s="125">
        <v>2000</v>
      </c>
      <c r="K19" s="125">
        <f>SUM(งบดุลบัญชี!N61)</f>
        <v>0</v>
      </c>
      <c r="L19" s="125">
        <f t="shared" si="4"/>
        <v>0</v>
      </c>
      <c r="M19" s="123" t="s">
        <v>590</v>
      </c>
      <c r="N19" s="126"/>
      <c r="O19" s="146">
        <v>412202</v>
      </c>
      <c r="P19" s="125">
        <v>2000</v>
      </c>
      <c r="Q19" s="125">
        <f>SUM(งบดุลบัญชี!T61)</f>
        <v>0</v>
      </c>
      <c r="R19" s="125">
        <f t="shared" si="0"/>
        <v>0</v>
      </c>
      <c r="S19" s="123" t="s">
        <v>590</v>
      </c>
      <c r="T19" s="126"/>
      <c r="U19" s="146">
        <v>412202</v>
      </c>
      <c r="V19" s="125">
        <v>2000</v>
      </c>
      <c r="W19" s="125">
        <f>SUM(งบดุลบัญชี!Z61)</f>
        <v>0</v>
      </c>
      <c r="X19" s="125">
        <f t="shared" si="1"/>
        <v>0</v>
      </c>
      <c r="Y19" s="123" t="s">
        <v>693</v>
      </c>
      <c r="Z19" s="126"/>
      <c r="AA19" s="146">
        <v>412202</v>
      </c>
      <c r="AB19" s="125">
        <v>2000</v>
      </c>
      <c r="AC19" s="125">
        <v>0</v>
      </c>
      <c r="AD19" s="125">
        <f t="shared" si="2"/>
        <v>0</v>
      </c>
      <c r="AE19" s="123" t="s">
        <v>693</v>
      </c>
      <c r="AF19" s="126"/>
      <c r="AG19" s="146">
        <v>412202</v>
      </c>
      <c r="AH19" s="125">
        <v>2000</v>
      </c>
      <c r="AI19" s="125">
        <v>0</v>
      </c>
      <c r="AJ19" s="125">
        <f t="shared" si="3"/>
        <v>0</v>
      </c>
    </row>
    <row r="20" spans="1:36" ht="18.75">
      <c r="A20" s="123" t="s">
        <v>591</v>
      </c>
      <c r="B20" s="126"/>
      <c r="C20" s="146">
        <v>412210</v>
      </c>
      <c r="D20" s="125">
        <v>5000</v>
      </c>
      <c r="E20" s="125">
        <f>SUM(งบดุลบัญชี!H62)</f>
        <v>0</v>
      </c>
      <c r="F20" s="125">
        <f t="shared" si="5"/>
        <v>0</v>
      </c>
      <c r="G20" s="123" t="s">
        <v>591</v>
      </c>
      <c r="H20" s="126"/>
      <c r="I20" s="146">
        <v>412210</v>
      </c>
      <c r="J20" s="125">
        <v>5000</v>
      </c>
      <c r="K20" s="125">
        <f>SUM(งบดุลบัญชี!N62)</f>
        <v>0</v>
      </c>
      <c r="L20" s="125">
        <f t="shared" si="4"/>
        <v>0</v>
      </c>
      <c r="M20" s="123" t="s">
        <v>591</v>
      </c>
      <c r="N20" s="126"/>
      <c r="O20" s="146">
        <v>412210</v>
      </c>
      <c r="P20" s="125">
        <v>5000</v>
      </c>
      <c r="Q20" s="125">
        <f>SUM(งบดุลบัญชี!T62)</f>
        <v>0</v>
      </c>
      <c r="R20" s="125">
        <f t="shared" si="0"/>
        <v>0</v>
      </c>
      <c r="S20" s="123" t="s">
        <v>591</v>
      </c>
      <c r="T20" s="126"/>
      <c r="U20" s="146">
        <v>412210</v>
      </c>
      <c r="V20" s="125">
        <v>5000</v>
      </c>
      <c r="W20" s="125">
        <f>SUM(งบดุลบัญชี!Z62)</f>
        <v>0</v>
      </c>
      <c r="X20" s="125">
        <f t="shared" si="1"/>
        <v>0</v>
      </c>
      <c r="Y20" s="123" t="s">
        <v>694</v>
      </c>
      <c r="Z20" s="126"/>
      <c r="AA20" s="146">
        <v>412210</v>
      </c>
      <c r="AB20" s="125">
        <v>5000</v>
      </c>
      <c r="AC20" s="125">
        <v>0</v>
      </c>
      <c r="AD20" s="125">
        <f t="shared" si="2"/>
        <v>0</v>
      </c>
      <c r="AE20" s="123" t="s">
        <v>694</v>
      </c>
      <c r="AF20" s="126"/>
      <c r="AG20" s="146">
        <v>412210</v>
      </c>
      <c r="AH20" s="125">
        <v>5000</v>
      </c>
      <c r="AI20" s="125">
        <v>96162</v>
      </c>
      <c r="AJ20" s="125">
        <f t="shared" si="3"/>
        <v>96162</v>
      </c>
    </row>
    <row r="21" spans="1:36" ht="18.75">
      <c r="A21" s="123" t="s">
        <v>592</v>
      </c>
      <c r="B21" s="126"/>
      <c r="C21" s="146">
        <v>412303</v>
      </c>
      <c r="D21" s="125">
        <v>15000</v>
      </c>
      <c r="E21" s="125">
        <f>SUM(งบดุลบัญชี!H63)</f>
        <v>0</v>
      </c>
      <c r="F21" s="125">
        <f t="shared" si="5"/>
        <v>0</v>
      </c>
      <c r="G21" s="123" t="s">
        <v>592</v>
      </c>
      <c r="H21" s="126"/>
      <c r="I21" s="146">
        <v>412303</v>
      </c>
      <c r="J21" s="125">
        <v>15000</v>
      </c>
      <c r="K21" s="125">
        <f>SUM(งบดุลบัญชี!N63)</f>
        <v>0</v>
      </c>
      <c r="L21" s="125">
        <f t="shared" si="4"/>
        <v>0</v>
      </c>
      <c r="M21" s="123" t="s">
        <v>592</v>
      </c>
      <c r="N21" s="126"/>
      <c r="O21" s="146">
        <v>412303</v>
      </c>
      <c r="P21" s="125">
        <v>15000</v>
      </c>
      <c r="Q21" s="125">
        <v>0</v>
      </c>
      <c r="R21" s="125">
        <f t="shared" si="0"/>
        <v>0</v>
      </c>
      <c r="S21" s="123" t="s">
        <v>592</v>
      </c>
      <c r="T21" s="126"/>
      <c r="U21" s="146">
        <v>412303</v>
      </c>
      <c r="V21" s="125">
        <v>15000</v>
      </c>
      <c r="W21" s="125">
        <v>200</v>
      </c>
      <c r="X21" s="125">
        <f t="shared" si="1"/>
        <v>200</v>
      </c>
      <c r="Y21" s="123" t="s">
        <v>695</v>
      </c>
      <c r="Z21" s="126"/>
      <c r="AA21" s="146">
        <v>412303</v>
      </c>
      <c r="AB21" s="125">
        <v>15000</v>
      </c>
      <c r="AC21" s="125">
        <v>0</v>
      </c>
      <c r="AD21" s="125">
        <f t="shared" si="2"/>
        <v>200</v>
      </c>
      <c r="AE21" s="123" t="s">
        <v>695</v>
      </c>
      <c r="AF21" s="126"/>
      <c r="AG21" s="146">
        <v>412303</v>
      </c>
      <c r="AH21" s="125">
        <v>15000</v>
      </c>
      <c r="AI21" s="125">
        <v>900</v>
      </c>
      <c r="AJ21" s="125">
        <f t="shared" si="3"/>
        <v>1100</v>
      </c>
    </row>
    <row r="22" spans="1:36" ht="18.75">
      <c r="A22" s="123" t="s">
        <v>593</v>
      </c>
      <c r="B22" s="126"/>
      <c r="C22" s="146">
        <v>412304</v>
      </c>
      <c r="D22" s="125">
        <v>1000</v>
      </c>
      <c r="E22" s="125">
        <f>SUM(งบดุลบัญชี!H64)</f>
        <v>0</v>
      </c>
      <c r="F22" s="125">
        <f t="shared" si="5"/>
        <v>0</v>
      </c>
      <c r="G22" s="123" t="s">
        <v>593</v>
      </c>
      <c r="H22" s="126"/>
      <c r="I22" s="146">
        <v>412304</v>
      </c>
      <c r="J22" s="125">
        <v>1000</v>
      </c>
      <c r="K22" s="125">
        <f>SUM(งบดุลบัญชี!N64)</f>
        <v>0</v>
      </c>
      <c r="L22" s="125">
        <f t="shared" si="4"/>
        <v>0</v>
      </c>
      <c r="M22" s="123" t="s">
        <v>593</v>
      </c>
      <c r="N22" s="126"/>
      <c r="O22" s="146">
        <v>412304</v>
      </c>
      <c r="P22" s="125">
        <v>1000</v>
      </c>
      <c r="Q22" s="125">
        <f>SUM(งบดุลบัญชี!T64)</f>
        <v>0</v>
      </c>
      <c r="R22" s="125">
        <f t="shared" si="0"/>
        <v>0</v>
      </c>
      <c r="S22" s="123" t="s">
        <v>593</v>
      </c>
      <c r="T22" s="126"/>
      <c r="U22" s="146">
        <v>412304</v>
      </c>
      <c r="V22" s="125">
        <v>1000</v>
      </c>
      <c r="W22" s="125">
        <f>SUM(งบดุลบัญชี!Z64)</f>
        <v>0</v>
      </c>
      <c r="X22" s="125">
        <f t="shared" si="1"/>
        <v>0</v>
      </c>
      <c r="Y22" s="123" t="s">
        <v>696</v>
      </c>
      <c r="Z22" s="126"/>
      <c r="AA22" s="146">
        <v>412304</v>
      </c>
      <c r="AB22" s="125">
        <v>1000</v>
      </c>
      <c r="AC22" s="125">
        <f>SUM(งบดุลบัญชี!AF64)</f>
        <v>0</v>
      </c>
      <c r="AD22" s="125">
        <f t="shared" si="2"/>
        <v>0</v>
      </c>
      <c r="AE22" s="123" t="s">
        <v>696</v>
      </c>
      <c r="AF22" s="126"/>
      <c r="AG22" s="146">
        <v>412304</v>
      </c>
      <c r="AH22" s="125">
        <v>1000</v>
      </c>
      <c r="AI22" s="125">
        <f>SUM(งบดุลบัญชี!AL64)</f>
        <v>0</v>
      </c>
      <c r="AJ22" s="125">
        <f t="shared" si="3"/>
        <v>0</v>
      </c>
    </row>
    <row r="23" spans="1:36" ht="18.75">
      <c r="A23" s="123" t="s">
        <v>594</v>
      </c>
      <c r="B23" s="126"/>
      <c r="C23" s="146">
        <v>412306</v>
      </c>
      <c r="D23" s="125">
        <v>4000</v>
      </c>
      <c r="E23" s="125">
        <f>SUM(งบดุลบัญชี!H65)</f>
        <v>0</v>
      </c>
      <c r="F23" s="125">
        <f t="shared" si="5"/>
        <v>0</v>
      </c>
      <c r="G23" s="123" t="s">
        <v>594</v>
      </c>
      <c r="H23" s="126"/>
      <c r="I23" s="146">
        <v>412306</v>
      </c>
      <c r="J23" s="125">
        <v>4000</v>
      </c>
      <c r="K23" s="125">
        <f>SUM(งบดุลบัญชี!N65)</f>
        <v>0</v>
      </c>
      <c r="L23" s="125">
        <f>SUM(+F23+K23)</f>
        <v>0</v>
      </c>
      <c r="M23" s="123" t="s">
        <v>594</v>
      </c>
      <c r="N23" s="126"/>
      <c r="O23" s="146">
        <v>412306</v>
      </c>
      <c r="P23" s="125">
        <v>4000</v>
      </c>
      <c r="Q23" s="125">
        <f>SUM(งบดุลบัญชี!T65)</f>
        <v>0</v>
      </c>
      <c r="R23" s="125">
        <f t="shared" si="0"/>
        <v>0</v>
      </c>
      <c r="S23" s="123" t="s">
        <v>594</v>
      </c>
      <c r="T23" s="126"/>
      <c r="U23" s="146">
        <v>412306</v>
      </c>
      <c r="V23" s="125">
        <v>4000</v>
      </c>
      <c r="W23" s="125">
        <f>SUM(งบดุลบัญชี!Z65)</f>
        <v>0</v>
      </c>
      <c r="X23" s="125">
        <f t="shared" si="1"/>
        <v>0</v>
      </c>
      <c r="Y23" s="123" t="s">
        <v>697</v>
      </c>
      <c r="Z23" s="126"/>
      <c r="AA23" s="146">
        <v>412306</v>
      </c>
      <c r="AB23" s="125">
        <v>4000</v>
      </c>
      <c r="AC23" s="125">
        <f>SUM(งบดุลบัญชี!AF65)</f>
        <v>0</v>
      </c>
      <c r="AD23" s="125">
        <f t="shared" si="2"/>
        <v>0</v>
      </c>
      <c r="AE23" s="123" t="s">
        <v>697</v>
      </c>
      <c r="AF23" s="126"/>
      <c r="AG23" s="146">
        <v>412306</v>
      </c>
      <c r="AH23" s="125">
        <v>4000</v>
      </c>
      <c r="AI23" s="125">
        <v>2000</v>
      </c>
      <c r="AJ23" s="125">
        <f t="shared" si="3"/>
        <v>2000</v>
      </c>
    </row>
    <row r="24" spans="1:36" ht="18.75">
      <c r="A24" s="123"/>
      <c r="B24" s="126"/>
      <c r="C24" s="146"/>
      <c r="D24" s="125"/>
      <c r="E24" s="125"/>
      <c r="F24" s="125"/>
      <c r="G24" s="123"/>
      <c r="H24" s="126"/>
      <c r="I24" s="146"/>
      <c r="J24" s="125"/>
      <c r="K24" s="125"/>
      <c r="L24" s="125"/>
      <c r="M24" s="123"/>
      <c r="N24" s="126"/>
      <c r="O24" s="146"/>
      <c r="P24" s="125"/>
      <c r="Q24" s="125"/>
      <c r="R24" s="125"/>
      <c r="S24" s="123"/>
      <c r="T24" s="126"/>
      <c r="U24" s="146"/>
      <c r="V24" s="125"/>
      <c r="W24" s="125"/>
      <c r="X24" s="125"/>
      <c r="Y24" s="123"/>
      <c r="Z24" s="126"/>
      <c r="AA24" s="146"/>
      <c r="AB24" s="125"/>
      <c r="AC24" s="125"/>
      <c r="AD24" s="125"/>
      <c r="AE24" s="123"/>
      <c r="AF24" s="126"/>
      <c r="AG24" s="146"/>
      <c r="AH24" s="125"/>
      <c r="AI24" s="125"/>
      <c r="AJ24" s="125"/>
    </row>
    <row r="25" spans="1:36" s="108" customFormat="1" ht="18.75">
      <c r="A25" s="132" t="s">
        <v>17</v>
      </c>
      <c r="B25" s="388"/>
      <c r="C25" s="139"/>
      <c r="D25" s="29">
        <f>SUM(D14:D23)</f>
        <v>186700</v>
      </c>
      <c r="E25" s="29">
        <f>SUM(E14:E23)</f>
        <v>11780</v>
      </c>
      <c r="F25" s="29">
        <f>SUM(F14:F23)</f>
        <v>11780</v>
      </c>
      <c r="G25" s="132" t="s">
        <v>17</v>
      </c>
      <c r="H25" s="442"/>
      <c r="I25" s="139"/>
      <c r="J25" s="29">
        <f>SUM(J14:J23)</f>
        <v>186700</v>
      </c>
      <c r="K25" s="29">
        <f>SUM(K14:K23)</f>
        <v>10490</v>
      </c>
      <c r="L25" s="29">
        <f>SUM(L14:L23)</f>
        <v>22270</v>
      </c>
      <c r="M25" s="132" t="s">
        <v>17</v>
      </c>
      <c r="N25" s="484"/>
      <c r="O25" s="139"/>
      <c r="P25" s="29">
        <f>SUM(P14:P23)</f>
        <v>186700</v>
      </c>
      <c r="Q25" s="29">
        <f>SUM(Q14:Q23)</f>
        <v>16420</v>
      </c>
      <c r="R25" s="29">
        <f>SUM(R14:R23)</f>
        <v>38690</v>
      </c>
      <c r="S25" s="132" t="s">
        <v>17</v>
      </c>
      <c r="T25" s="494"/>
      <c r="U25" s="139"/>
      <c r="V25" s="29">
        <f>SUM(V14:V23)</f>
        <v>186700</v>
      </c>
      <c r="W25" s="29">
        <f>SUM(W14:W23)</f>
        <v>13940</v>
      </c>
      <c r="X25" s="29">
        <f>SUM(X14:X23)</f>
        <v>52630</v>
      </c>
      <c r="Y25" s="132" t="s">
        <v>17</v>
      </c>
      <c r="Z25" s="523"/>
      <c r="AA25" s="139"/>
      <c r="AB25" s="29">
        <f>SUM(AB13:AB23)</f>
        <v>186700</v>
      </c>
      <c r="AC25" s="29">
        <f>SUM(AC13:AC23)</f>
        <v>18579.4</v>
      </c>
      <c r="AD25" s="29">
        <f>SUM(AD13:AD23)</f>
        <v>71209.4</v>
      </c>
      <c r="AE25" s="132" t="s">
        <v>17</v>
      </c>
      <c r="AF25" s="573"/>
      <c r="AG25" s="139"/>
      <c r="AH25" s="29">
        <f>SUM(AH13:AH23)</f>
        <v>186700</v>
      </c>
      <c r="AI25" s="29">
        <f>SUM(AI13:AI23)</f>
        <v>111191.4</v>
      </c>
      <c r="AJ25" s="29">
        <f>SUM(AJ13:AJ23)</f>
        <v>182400.8</v>
      </c>
    </row>
    <row r="26" spans="1:36" s="108" customFormat="1" ht="18.75">
      <c r="A26" s="414" t="s">
        <v>101</v>
      </c>
      <c r="B26" s="415"/>
      <c r="C26" s="139">
        <v>413000</v>
      </c>
      <c r="D26" s="413"/>
      <c r="E26" s="413"/>
      <c r="F26" s="413"/>
      <c r="G26" s="414" t="s">
        <v>101</v>
      </c>
      <c r="H26" s="415"/>
      <c r="I26" s="139">
        <v>413000</v>
      </c>
      <c r="J26" s="413"/>
      <c r="K26" s="413"/>
      <c r="L26" s="413"/>
      <c r="M26" s="414" t="s">
        <v>101</v>
      </c>
      <c r="N26" s="415"/>
      <c r="O26" s="139">
        <v>413000</v>
      </c>
      <c r="P26" s="413"/>
      <c r="Q26" s="413"/>
      <c r="R26" s="413"/>
      <c r="S26" s="414" t="s">
        <v>101</v>
      </c>
      <c r="T26" s="415"/>
      <c r="U26" s="139">
        <v>413000</v>
      </c>
      <c r="V26" s="413"/>
      <c r="W26" s="413"/>
      <c r="X26" s="413"/>
      <c r="Y26" s="414" t="s">
        <v>101</v>
      </c>
      <c r="Z26" s="415"/>
      <c r="AA26" s="139">
        <v>413000</v>
      </c>
      <c r="AB26" s="413"/>
      <c r="AC26" s="413"/>
      <c r="AD26" s="413"/>
      <c r="AE26" s="414" t="s">
        <v>101</v>
      </c>
      <c r="AF26" s="415"/>
      <c r="AG26" s="139">
        <v>413000</v>
      </c>
      <c r="AH26" s="413"/>
      <c r="AI26" s="413"/>
      <c r="AJ26" s="413"/>
    </row>
    <row r="27" spans="1:36" ht="18.75">
      <c r="A27" s="123" t="s">
        <v>191</v>
      </c>
      <c r="B27" s="126"/>
      <c r="C27" s="146">
        <v>413002</v>
      </c>
      <c r="D27" s="125">
        <v>1000</v>
      </c>
      <c r="E27" s="125">
        <f>SUM(งบดุลบัญชี!H68)</f>
        <v>0</v>
      </c>
      <c r="F27" s="125">
        <f>SUM(E27)</f>
        <v>0</v>
      </c>
      <c r="G27" s="123" t="s">
        <v>191</v>
      </c>
      <c r="H27" s="126"/>
      <c r="I27" s="146">
        <v>413002</v>
      </c>
      <c r="J27" s="125">
        <v>1000</v>
      </c>
      <c r="K27" s="125">
        <f>SUM(งบดุลบัญชี!N68)</f>
        <v>0</v>
      </c>
      <c r="L27" s="125">
        <f>SUM(+F27+K27)</f>
        <v>0</v>
      </c>
      <c r="M27" s="123" t="s">
        <v>191</v>
      </c>
      <c r="N27" s="126"/>
      <c r="O27" s="146">
        <v>413002</v>
      </c>
      <c r="P27" s="125">
        <v>1000</v>
      </c>
      <c r="Q27" s="125">
        <f>SUM(งบดุลบัญชี!T68)</f>
        <v>0</v>
      </c>
      <c r="R27" s="125">
        <f>SUM(+L27+Q27)</f>
        <v>0</v>
      </c>
      <c r="S27" s="123" t="s">
        <v>191</v>
      </c>
      <c r="T27" s="126"/>
      <c r="U27" s="146">
        <v>413002</v>
      </c>
      <c r="V27" s="125">
        <v>1000</v>
      </c>
      <c r="W27" s="125">
        <f>SUM(งบดุลบัญชี!Z68)</f>
        <v>0</v>
      </c>
      <c r="X27" s="125">
        <f>SUM(+R27+W27)</f>
        <v>0</v>
      </c>
      <c r="Y27" s="123" t="s">
        <v>191</v>
      </c>
      <c r="Z27" s="126"/>
      <c r="AA27" s="146">
        <v>413002</v>
      </c>
      <c r="AB27" s="125">
        <v>1000</v>
      </c>
      <c r="AC27" s="125">
        <f>SUM(งบดุลบัญชี!AF68)</f>
        <v>0</v>
      </c>
      <c r="AD27" s="125">
        <f>SUM(+X27+AC27)</f>
        <v>0</v>
      </c>
      <c r="AE27" s="123" t="s">
        <v>191</v>
      </c>
      <c r="AF27" s="126"/>
      <c r="AG27" s="146">
        <v>413002</v>
      </c>
      <c r="AH27" s="125">
        <v>1000</v>
      </c>
      <c r="AI27" s="125">
        <f>SUM(งบดุลบัญชี!AL68)</f>
        <v>0</v>
      </c>
      <c r="AJ27" s="125">
        <f>SUM(+AD27+AI27)</f>
        <v>0</v>
      </c>
    </row>
    <row r="28" spans="1:36" ht="18.75">
      <c r="A28" s="123" t="s">
        <v>192</v>
      </c>
      <c r="B28" s="126"/>
      <c r="C28" s="146">
        <v>413003</v>
      </c>
      <c r="D28" s="125">
        <v>290000</v>
      </c>
      <c r="E28" s="125">
        <f>SUM(งบดุลบัญชี!H69)</f>
        <v>0</v>
      </c>
      <c r="F28" s="125">
        <f>SUM(E28)</f>
        <v>0</v>
      </c>
      <c r="G28" s="123" t="s">
        <v>192</v>
      </c>
      <c r="H28" s="126"/>
      <c r="I28" s="146">
        <v>413003</v>
      </c>
      <c r="J28" s="125">
        <v>290000</v>
      </c>
      <c r="K28" s="125">
        <f>SUM(งบดุลบัญชี!N69)</f>
        <v>0</v>
      </c>
      <c r="L28" s="125">
        <f>SUM(+F28+K28)</f>
        <v>0</v>
      </c>
      <c r="M28" s="123" t="s">
        <v>192</v>
      </c>
      <c r="N28" s="126"/>
      <c r="O28" s="146">
        <v>413003</v>
      </c>
      <c r="P28" s="125">
        <v>290000</v>
      </c>
      <c r="Q28" s="125">
        <v>114354.21</v>
      </c>
      <c r="R28" s="125">
        <f>SUM(+L28+Q28)</f>
        <v>114354.21</v>
      </c>
      <c r="S28" s="123" t="s">
        <v>192</v>
      </c>
      <c r="T28" s="126"/>
      <c r="U28" s="146">
        <v>413003</v>
      </c>
      <c r="V28" s="125">
        <v>290000</v>
      </c>
      <c r="W28" s="125">
        <v>0</v>
      </c>
      <c r="X28" s="125">
        <f>SUM(+R28+W28)</f>
        <v>114354.21</v>
      </c>
      <c r="Y28" s="123" t="s">
        <v>192</v>
      </c>
      <c r="Z28" s="126"/>
      <c r="AA28" s="146">
        <v>413003</v>
      </c>
      <c r="AB28" s="125">
        <v>290000</v>
      </c>
      <c r="AC28" s="125">
        <v>0</v>
      </c>
      <c r="AD28" s="125">
        <f>SUM(+X28+AC28)</f>
        <v>114354.21</v>
      </c>
      <c r="AE28" s="123" t="s">
        <v>192</v>
      </c>
      <c r="AF28" s="126"/>
      <c r="AG28" s="146">
        <v>413003</v>
      </c>
      <c r="AH28" s="125">
        <v>290000</v>
      </c>
      <c r="AI28" s="125">
        <v>27198.27</v>
      </c>
      <c r="AJ28" s="125">
        <f>SUM(+AD28+AI28)</f>
        <v>141552.48</v>
      </c>
    </row>
    <row r="29" spans="1:36" ht="18.75">
      <c r="A29" s="123" t="s">
        <v>193</v>
      </c>
      <c r="B29" s="126"/>
      <c r="C29" s="146">
        <v>413003</v>
      </c>
      <c r="D29" s="125"/>
      <c r="E29" s="125">
        <f>SUM(งบดุลบัญชี!H70)</f>
        <v>0</v>
      </c>
      <c r="F29" s="125">
        <f>SUM(E29)</f>
        <v>0</v>
      </c>
      <c r="G29" s="123" t="s">
        <v>193</v>
      </c>
      <c r="H29" s="126"/>
      <c r="I29" s="146">
        <v>413003</v>
      </c>
      <c r="J29" s="125"/>
      <c r="K29" s="125">
        <f>SUM(งบดุลบัญชี!N70)</f>
        <v>0</v>
      </c>
      <c r="L29" s="125">
        <f>SUM(+F29+K29)</f>
        <v>0</v>
      </c>
      <c r="M29" s="123" t="s">
        <v>193</v>
      </c>
      <c r="N29" s="126"/>
      <c r="O29" s="146">
        <v>413003</v>
      </c>
      <c r="P29" s="125"/>
      <c r="Q29" s="125">
        <f>SUM(งบดุลบัญชี!T70)</f>
        <v>0</v>
      </c>
      <c r="R29" s="125">
        <f>SUM(+L29+Q29)</f>
        <v>0</v>
      </c>
      <c r="S29" s="123" t="s">
        <v>193</v>
      </c>
      <c r="T29" s="126"/>
      <c r="U29" s="146">
        <v>413003</v>
      </c>
      <c r="V29" s="125"/>
      <c r="W29" s="125">
        <f>SUM(งบดุลบัญชี!Z70)</f>
        <v>0</v>
      </c>
      <c r="X29" s="125">
        <f>SUM(+R29+W29)</f>
        <v>0</v>
      </c>
      <c r="Y29" s="123" t="s">
        <v>193</v>
      </c>
      <c r="Z29" s="126"/>
      <c r="AA29" s="146">
        <v>413003</v>
      </c>
      <c r="AB29" s="125"/>
      <c r="AC29" s="125">
        <f>SUM(งบดุลบัญชี!AF70)</f>
        <v>0</v>
      </c>
      <c r="AD29" s="125">
        <f>SUM(+X29+AC29)</f>
        <v>0</v>
      </c>
      <c r="AE29" s="123" t="s">
        <v>193</v>
      </c>
      <c r="AF29" s="126"/>
      <c r="AG29" s="146">
        <v>413003</v>
      </c>
      <c r="AH29" s="125"/>
      <c r="AI29" s="125">
        <f>SUM(งบดุลบัญชี!AL70)</f>
        <v>0</v>
      </c>
      <c r="AJ29" s="125">
        <f>SUM(+AD29+AI29)</f>
        <v>0</v>
      </c>
    </row>
    <row r="30" spans="1:36" s="108" customFormat="1" ht="18.75">
      <c r="A30" s="132" t="s">
        <v>17</v>
      </c>
      <c r="B30" s="388"/>
      <c r="C30" s="139"/>
      <c r="D30" s="29">
        <f>SUM(D27:D29)</f>
        <v>291000</v>
      </c>
      <c r="E30" s="29">
        <f>SUM(E27:E29)</f>
        <v>0</v>
      </c>
      <c r="F30" s="29">
        <f>SUM(F27:F29)</f>
        <v>0</v>
      </c>
      <c r="G30" s="132" t="s">
        <v>17</v>
      </c>
      <c r="H30" s="442"/>
      <c r="I30" s="139"/>
      <c r="J30" s="29">
        <f>SUM(J27:J29)</f>
        <v>291000</v>
      </c>
      <c r="K30" s="29">
        <f>SUM(K27:K29)</f>
        <v>0</v>
      </c>
      <c r="L30" s="29">
        <f>SUM(L27:L29)</f>
        <v>0</v>
      </c>
      <c r="M30" s="132" t="s">
        <v>17</v>
      </c>
      <c r="N30" s="484"/>
      <c r="O30" s="139"/>
      <c r="P30" s="29">
        <f>SUM(P27:P29)</f>
        <v>291000</v>
      </c>
      <c r="Q30" s="29">
        <f>SUM(Q27:Q29)</f>
        <v>114354.21</v>
      </c>
      <c r="R30" s="29">
        <f>SUM(R27:R29)</f>
        <v>114354.21</v>
      </c>
      <c r="S30" s="132" t="s">
        <v>17</v>
      </c>
      <c r="T30" s="494"/>
      <c r="U30" s="139"/>
      <c r="V30" s="29">
        <f>SUM(V27:V29)</f>
        <v>291000</v>
      </c>
      <c r="W30" s="29">
        <f>SUM(W27:W29)</f>
        <v>0</v>
      </c>
      <c r="X30" s="29">
        <f>SUM(X27:X29)</f>
        <v>114354.21</v>
      </c>
      <c r="Y30" s="132" t="s">
        <v>17</v>
      </c>
      <c r="Z30" s="523"/>
      <c r="AA30" s="139"/>
      <c r="AB30" s="29">
        <f>SUM(AB27:AB29)</f>
        <v>291000</v>
      </c>
      <c r="AC30" s="29">
        <f>SUM(AC27:AC29)</f>
        <v>0</v>
      </c>
      <c r="AD30" s="29">
        <f>SUM(AD27:AD29)</f>
        <v>114354.21</v>
      </c>
      <c r="AE30" s="132" t="s">
        <v>17</v>
      </c>
      <c r="AF30" s="573"/>
      <c r="AG30" s="139"/>
      <c r="AH30" s="29">
        <f>SUM(AH27:AH29)</f>
        <v>291000</v>
      </c>
      <c r="AI30" s="29">
        <f>SUM(AI27:AI29)</f>
        <v>27198.27</v>
      </c>
      <c r="AJ30" s="29">
        <f>SUM(AJ27:AJ29)</f>
        <v>141552.48</v>
      </c>
    </row>
    <row r="31" spans="1:36" s="108" customFormat="1" ht="18.75">
      <c r="A31" s="414" t="s">
        <v>104</v>
      </c>
      <c r="B31" s="415"/>
      <c r="C31" s="139"/>
      <c r="D31" s="413"/>
      <c r="E31" s="413"/>
      <c r="F31" s="413"/>
      <c r="G31" s="414" t="s">
        <v>104</v>
      </c>
      <c r="H31" s="415"/>
      <c r="I31" s="139"/>
      <c r="J31" s="413"/>
      <c r="K31" s="413"/>
      <c r="L31" s="413"/>
      <c r="M31" s="414" t="s">
        <v>104</v>
      </c>
      <c r="N31" s="415"/>
      <c r="O31" s="139"/>
      <c r="P31" s="413"/>
      <c r="Q31" s="413"/>
      <c r="R31" s="413"/>
      <c r="S31" s="414" t="s">
        <v>104</v>
      </c>
      <c r="T31" s="415"/>
      <c r="U31" s="139"/>
      <c r="V31" s="413"/>
      <c r="W31" s="413"/>
      <c r="X31" s="413"/>
      <c r="Y31" s="414" t="s">
        <v>104</v>
      </c>
      <c r="Z31" s="415"/>
      <c r="AA31" s="139"/>
      <c r="AB31" s="413"/>
      <c r="AC31" s="413"/>
      <c r="AD31" s="413"/>
      <c r="AE31" s="414" t="s">
        <v>104</v>
      </c>
      <c r="AF31" s="415"/>
      <c r="AG31" s="139"/>
      <c r="AH31" s="413"/>
      <c r="AI31" s="413"/>
      <c r="AJ31" s="413"/>
    </row>
    <row r="32" spans="1:36" ht="18.75">
      <c r="A32" s="123" t="s">
        <v>194</v>
      </c>
      <c r="B32" s="126"/>
      <c r="C32" s="146">
        <v>414999</v>
      </c>
      <c r="D32" s="125">
        <v>180000</v>
      </c>
      <c r="E32" s="416">
        <v>12005</v>
      </c>
      <c r="F32" s="125">
        <f>SUM(E32)</f>
        <v>12005</v>
      </c>
      <c r="G32" s="123" t="s">
        <v>194</v>
      </c>
      <c r="H32" s="126"/>
      <c r="I32" s="146">
        <v>414999</v>
      </c>
      <c r="J32" s="125">
        <v>180000</v>
      </c>
      <c r="K32" s="416">
        <v>34960</v>
      </c>
      <c r="L32" s="125">
        <f>SUM(+F32+K32)</f>
        <v>46965</v>
      </c>
      <c r="M32" s="123" t="s">
        <v>194</v>
      </c>
      <c r="N32" s="126"/>
      <c r="O32" s="146">
        <v>414999</v>
      </c>
      <c r="P32" s="125">
        <v>180000</v>
      </c>
      <c r="Q32" s="416">
        <v>15260</v>
      </c>
      <c r="R32" s="125">
        <f>SUM(+L32+Q32)</f>
        <v>62225</v>
      </c>
      <c r="S32" s="123" t="s">
        <v>194</v>
      </c>
      <c r="T32" s="126"/>
      <c r="U32" s="146">
        <v>414999</v>
      </c>
      <c r="V32" s="125">
        <v>180000</v>
      </c>
      <c r="W32" s="416">
        <v>14575</v>
      </c>
      <c r="X32" s="125">
        <f>SUM(+R32+W32)</f>
        <v>76800</v>
      </c>
      <c r="Y32" s="123" t="s">
        <v>194</v>
      </c>
      <c r="Z32" s="126"/>
      <c r="AA32" s="146">
        <v>414999</v>
      </c>
      <c r="AB32" s="125">
        <v>180000</v>
      </c>
      <c r="AC32" s="416">
        <v>10530</v>
      </c>
      <c r="AD32" s="125">
        <f>SUM(+X32+AC32)</f>
        <v>87330</v>
      </c>
      <c r="AE32" s="123" t="s">
        <v>194</v>
      </c>
      <c r="AF32" s="126"/>
      <c r="AG32" s="146">
        <v>414999</v>
      </c>
      <c r="AH32" s="125">
        <v>180000</v>
      </c>
      <c r="AI32" s="416">
        <v>14015</v>
      </c>
      <c r="AJ32" s="125">
        <f>SUM(+AD32+AI32)</f>
        <v>101345</v>
      </c>
    </row>
    <row r="33" spans="1:36" s="108" customFormat="1" ht="18.75">
      <c r="A33" s="132" t="s">
        <v>17</v>
      </c>
      <c r="B33" s="388"/>
      <c r="C33" s="139"/>
      <c r="D33" s="29">
        <f>SUM(D32)</f>
        <v>180000</v>
      </c>
      <c r="E33" s="29">
        <f>SUM(E32)</f>
        <v>12005</v>
      </c>
      <c r="F33" s="29">
        <f>SUM(F32)</f>
        <v>12005</v>
      </c>
      <c r="G33" s="132" t="s">
        <v>17</v>
      </c>
      <c r="H33" s="442"/>
      <c r="I33" s="139"/>
      <c r="J33" s="29">
        <f>SUM(J32)</f>
        <v>180000</v>
      </c>
      <c r="K33" s="29">
        <f>SUM(K32)</f>
        <v>34960</v>
      </c>
      <c r="L33" s="29">
        <f>SUM(L32)</f>
        <v>46965</v>
      </c>
      <c r="M33" s="132" t="s">
        <v>17</v>
      </c>
      <c r="N33" s="484"/>
      <c r="O33" s="139"/>
      <c r="P33" s="29">
        <f>SUM(P32)</f>
        <v>180000</v>
      </c>
      <c r="Q33" s="29">
        <f>SUM(Q32)</f>
        <v>15260</v>
      </c>
      <c r="R33" s="29">
        <f>SUM(R32)</f>
        <v>62225</v>
      </c>
      <c r="S33" s="132" t="s">
        <v>17</v>
      </c>
      <c r="T33" s="494"/>
      <c r="U33" s="139"/>
      <c r="V33" s="29">
        <f>SUM(V32)</f>
        <v>180000</v>
      </c>
      <c r="W33" s="29">
        <f>SUM(W32)</f>
        <v>14575</v>
      </c>
      <c r="X33" s="29">
        <f>SUM(X32)</f>
        <v>76800</v>
      </c>
      <c r="Y33" s="132" t="s">
        <v>17</v>
      </c>
      <c r="Z33" s="523"/>
      <c r="AA33" s="139"/>
      <c r="AB33" s="29">
        <f>SUM(AB32)</f>
        <v>180000</v>
      </c>
      <c r="AC33" s="29">
        <f>SUM(AC32)</f>
        <v>10530</v>
      </c>
      <c r="AD33" s="29">
        <f>SUM(AD32)</f>
        <v>87330</v>
      </c>
      <c r="AE33" s="132" t="s">
        <v>17</v>
      </c>
      <c r="AF33" s="573"/>
      <c r="AG33" s="139"/>
      <c r="AH33" s="29">
        <f>SUM(AH32)</f>
        <v>180000</v>
      </c>
      <c r="AI33" s="29">
        <f>SUM(AI32)</f>
        <v>14015</v>
      </c>
      <c r="AJ33" s="29">
        <f>SUM(AJ32)</f>
        <v>101345</v>
      </c>
    </row>
    <row r="34" spans="1:36" s="108" customFormat="1" ht="18.75">
      <c r="A34" s="414" t="s">
        <v>105</v>
      </c>
      <c r="B34" s="415"/>
      <c r="C34" s="139">
        <v>415000</v>
      </c>
      <c r="D34" s="413"/>
      <c r="E34" s="413"/>
      <c r="F34" s="413"/>
      <c r="G34" s="414" t="s">
        <v>105</v>
      </c>
      <c r="H34" s="415"/>
      <c r="I34" s="139">
        <v>415000</v>
      </c>
      <c r="J34" s="413"/>
      <c r="K34" s="413"/>
      <c r="L34" s="413"/>
      <c r="M34" s="414" t="s">
        <v>105</v>
      </c>
      <c r="N34" s="415"/>
      <c r="O34" s="139">
        <v>415000</v>
      </c>
      <c r="P34" s="413"/>
      <c r="Q34" s="413"/>
      <c r="R34" s="413"/>
      <c r="S34" s="414" t="s">
        <v>105</v>
      </c>
      <c r="T34" s="415"/>
      <c r="U34" s="139">
        <v>415000</v>
      </c>
      <c r="V34" s="413"/>
      <c r="W34" s="413"/>
      <c r="X34" s="413"/>
      <c r="Y34" s="414" t="s">
        <v>105</v>
      </c>
      <c r="Z34" s="415"/>
      <c r="AA34" s="139">
        <v>415000</v>
      </c>
      <c r="AB34" s="413"/>
      <c r="AC34" s="413"/>
      <c r="AD34" s="413"/>
      <c r="AE34" s="414" t="s">
        <v>105</v>
      </c>
      <c r="AF34" s="415"/>
      <c r="AG34" s="139">
        <v>415000</v>
      </c>
      <c r="AH34" s="413"/>
      <c r="AI34" s="413"/>
      <c r="AJ34" s="413"/>
    </row>
    <row r="35" spans="1:36" ht="18.75">
      <c r="A35" s="123" t="s">
        <v>195</v>
      </c>
      <c r="B35" s="126"/>
      <c r="C35" s="146">
        <v>415004</v>
      </c>
      <c r="D35" s="125">
        <v>50000</v>
      </c>
      <c r="E35" s="125">
        <f>SUM(งบดุลบัญชี!H74)</f>
        <v>0</v>
      </c>
      <c r="F35" s="125">
        <f>SUM(E35)</f>
        <v>0</v>
      </c>
      <c r="G35" s="123" t="s">
        <v>195</v>
      </c>
      <c r="H35" s="126"/>
      <c r="I35" s="146">
        <v>415004</v>
      </c>
      <c r="J35" s="125">
        <v>50000</v>
      </c>
      <c r="K35" s="125">
        <f>SUM(งบดุลบัญชี!N74)</f>
        <v>10500</v>
      </c>
      <c r="L35" s="125">
        <f>SUM(+F35+K35)</f>
        <v>10500</v>
      </c>
      <c r="M35" s="123" t="s">
        <v>195</v>
      </c>
      <c r="N35" s="126"/>
      <c r="O35" s="146">
        <v>415004</v>
      </c>
      <c r="P35" s="125">
        <v>50000</v>
      </c>
      <c r="Q35" s="125">
        <v>0</v>
      </c>
      <c r="R35" s="125">
        <f>SUM(+L35+Q35)</f>
        <v>10500</v>
      </c>
      <c r="S35" s="123" t="s">
        <v>195</v>
      </c>
      <c r="T35" s="126"/>
      <c r="U35" s="146">
        <v>415004</v>
      </c>
      <c r="V35" s="125">
        <v>50000</v>
      </c>
      <c r="W35" s="125">
        <v>12000</v>
      </c>
      <c r="X35" s="125">
        <f>SUM(+R35+W35)</f>
        <v>22500</v>
      </c>
      <c r="Y35" s="123" t="s">
        <v>195</v>
      </c>
      <c r="Z35" s="126"/>
      <c r="AA35" s="146">
        <v>415004</v>
      </c>
      <c r="AB35" s="125">
        <v>50000</v>
      </c>
      <c r="AC35" s="125">
        <v>8000</v>
      </c>
      <c r="AD35" s="125">
        <f>SUM(+X35+AC35)</f>
        <v>30500</v>
      </c>
      <c r="AE35" s="123" t="s">
        <v>195</v>
      </c>
      <c r="AF35" s="126"/>
      <c r="AG35" s="146">
        <v>415004</v>
      </c>
      <c r="AH35" s="125">
        <v>50000</v>
      </c>
      <c r="AI35" s="125">
        <v>0</v>
      </c>
      <c r="AJ35" s="125">
        <f>SUM(+AD35+AI35)</f>
        <v>30500</v>
      </c>
    </row>
    <row r="36" spans="1:36" ht="18.75">
      <c r="A36" s="123" t="s">
        <v>595</v>
      </c>
      <c r="B36" s="126"/>
      <c r="C36" s="146">
        <v>415999</v>
      </c>
      <c r="D36" s="125">
        <v>70000</v>
      </c>
      <c r="E36" s="125">
        <v>2510</v>
      </c>
      <c r="F36" s="125">
        <f>SUM(E36)</f>
        <v>2510</v>
      </c>
      <c r="G36" s="123" t="s">
        <v>595</v>
      </c>
      <c r="H36" s="126"/>
      <c r="I36" s="146">
        <v>415999</v>
      </c>
      <c r="J36" s="125">
        <v>70000</v>
      </c>
      <c r="K36" s="125">
        <v>200</v>
      </c>
      <c r="L36" s="125">
        <f>SUM(+F36+K36)</f>
        <v>2710</v>
      </c>
      <c r="M36" s="123" t="s">
        <v>595</v>
      </c>
      <c r="N36" s="126"/>
      <c r="O36" s="146">
        <v>415999</v>
      </c>
      <c r="P36" s="125">
        <v>70000</v>
      </c>
      <c r="Q36" s="125">
        <v>420</v>
      </c>
      <c r="R36" s="125">
        <f>SUM(+L36+Q36)</f>
        <v>3130</v>
      </c>
      <c r="S36" s="123" t="s">
        <v>595</v>
      </c>
      <c r="T36" s="126"/>
      <c r="U36" s="146">
        <v>415999</v>
      </c>
      <c r="V36" s="125">
        <v>70000</v>
      </c>
      <c r="W36" s="125">
        <v>1720</v>
      </c>
      <c r="X36" s="125">
        <f>SUM(+R36+W36)</f>
        <v>4850</v>
      </c>
      <c r="Y36" s="123" t="s">
        <v>595</v>
      </c>
      <c r="Z36" s="126"/>
      <c r="AA36" s="146">
        <v>415999</v>
      </c>
      <c r="AB36" s="125">
        <v>70000</v>
      </c>
      <c r="AC36" s="125">
        <v>600</v>
      </c>
      <c r="AD36" s="125">
        <f>SUM(+X36+AC36)</f>
        <v>5450</v>
      </c>
      <c r="AE36" s="123" t="s">
        <v>595</v>
      </c>
      <c r="AF36" s="126"/>
      <c r="AG36" s="146">
        <v>415999</v>
      </c>
      <c r="AH36" s="125">
        <v>70000</v>
      </c>
      <c r="AI36" s="125">
        <v>2570</v>
      </c>
      <c r="AJ36" s="125">
        <f>SUM(+AD36+AI36)</f>
        <v>8020</v>
      </c>
    </row>
    <row r="37" spans="1:36" s="108" customFormat="1" ht="18.75">
      <c r="A37" s="132" t="s">
        <v>17</v>
      </c>
      <c r="B37" s="388"/>
      <c r="C37" s="139"/>
      <c r="D37" s="29">
        <f>SUM(D35:D36)</f>
        <v>120000</v>
      </c>
      <c r="E37" s="29">
        <f>SUM(E35:E36)</f>
        <v>2510</v>
      </c>
      <c r="F37" s="29">
        <f>SUM(F35:F36)</f>
        <v>2510</v>
      </c>
      <c r="G37" s="132" t="s">
        <v>17</v>
      </c>
      <c r="H37" s="442"/>
      <c r="I37" s="139"/>
      <c r="J37" s="29">
        <f>SUM(J35:J36)</f>
        <v>120000</v>
      </c>
      <c r="K37" s="29">
        <f>SUM(K35:K36)</f>
        <v>10700</v>
      </c>
      <c r="L37" s="29">
        <f>SUM(L35:L36)</f>
        <v>13210</v>
      </c>
      <c r="M37" s="132" t="s">
        <v>17</v>
      </c>
      <c r="N37" s="484"/>
      <c r="O37" s="139"/>
      <c r="P37" s="29">
        <f>SUM(P35:P36)</f>
        <v>120000</v>
      </c>
      <c r="Q37" s="29">
        <f>SUM(Q35:Q36)</f>
        <v>420</v>
      </c>
      <c r="R37" s="29">
        <f>SUM(R35:R36)</f>
        <v>13630</v>
      </c>
      <c r="S37" s="132" t="s">
        <v>17</v>
      </c>
      <c r="T37" s="494"/>
      <c r="U37" s="139"/>
      <c r="V37" s="29">
        <f>SUM(V35:V36)</f>
        <v>120000</v>
      </c>
      <c r="W37" s="29">
        <f>SUM(W35:W36)</f>
        <v>13720</v>
      </c>
      <c r="X37" s="29">
        <f>SUM(X35:X36)</f>
        <v>27350</v>
      </c>
      <c r="Y37" s="132" t="s">
        <v>17</v>
      </c>
      <c r="Z37" s="523"/>
      <c r="AA37" s="139"/>
      <c r="AB37" s="29">
        <f>SUM(AB35:AB36)</f>
        <v>120000</v>
      </c>
      <c r="AC37" s="29">
        <f>SUM(AC35:AC36)</f>
        <v>8600</v>
      </c>
      <c r="AD37" s="29">
        <f>SUM(AD35:AD36)</f>
        <v>35950</v>
      </c>
      <c r="AE37" s="132" t="s">
        <v>17</v>
      </c>
      <c r="AF37" s="573"/>
      <c r="AG37" s="139"/>
      <c r="AH37" s="29">
        <f>SUM(AH35:AH36)</f>
        <v>120000</v>
      </c>
      <c r="AI37" s="29">
        <f>SUM(AI35:AI36)</f>
        <v>2570</v>
      </c>
      <c r="AJ37" s="29">
        <f>SUM(AJ35:AJ36)</f>
        <v>38520</v>
      </c>
    </row>
    <row r="38" spans="1:36" s="108" customFormat="1" ht="18.75">
      <c r="A38" s="414" t="s">
        <v>107</v>
      </c>
      <c r="B38" s="415"/>
      <c r="C38" s="139">
        <v>416000</v>
      </c>
      <c r="D38" s="413"/>
      <c r="E38" s="413"/>
      <c r="F38" s="413"/>
      <c r="G38" s="414" t="s">
        <v>107</v>
      </c>
      <c r="H38" s="415"/>
      <c r="I38" s="139">
        <v>416000</v>
      </c>
      <c r="J38" s="413"/>
      <c r="K38" s="413"/>
      <c r="L38" s="413"/>
      <c r="M38" s="414" t="s">
        <v>107</v>
      </c>
      <c r="N38" s="415"/>
      <c r="O38" s="139">
        <v>416000</v>
      </c>
      <c r="P38" s="413"/>
      <c r="Q38" s="413"/>
      <c r="R38" s="413"/>
      <c r="S38" s="414" t="s">
        <v>107</v>
      </c>
      <c r="T38" s="415"/>
      <c r="U38" s="139">
        <v>416000</v>
      </c>
      <c r="V38" s="413"/>
      <c r="W38" s="413"/>
      <c r="X38" s="413"/>
      <c r="Y38" s="414" t="s">
        <v>107</v>
      </c>
      <c r="Z38" s="415"/>
      <c r="AA38" s="139">
        <v>416000</v>
      </c>
      <c r="AB38" s="413"/>
      <c r="AC38" s="413"/>
      <c r="AD38" s="413"/>
      <c r="AE38" s="414" t="s">
        <v>107</v>
      </c>
      <c r="AF38" s="415"/>
      <c r="AG38" s="139">
        <v>416000</v>
      </c>
      <c r="AH38" s="413"/>
      <c r="AI38" s="413"/>
      <c r="AJ38" s="413"/>
    </row>
    <row r="39" spans="1:36" ht="18.75">
      <c r="A39" s="123" t="s">
        <v>196</v>
      </c>
      <c r="B39" s="126"/>
      <c r="C39" s="146">
        <v>416001</v>
      </c>
      <c r="D39" s="125">
        <v>500</v>
      </c>
      <c r="E39" s="125">
        <f>SUM(งบดุลบัญชี!H78)</f>
        <v>0</v>
      </c>
      <c r="F39" s="125">
        <f>SUM(E39)</f>
        <v>0</v>
      </c>
      <c r="G39" s="123" t="s">
        <v>196</v>
      </c>
      <c r="H39" s="126"/>
      <c r="I39" s="146">
        <v>416001</v>
      </c>
      <c r="J39" s="125">
        <v>500</v>
      </c>
      <c r="K39" s="125">
        <f>SUM(งบดุลบัญชี!N78)</f>
        <v>0</v>
      </c>
      <c r="L39" s="125">
        <f>SUM(+F39+K39)</f>
        <v>0</v>
      </c>
      <c r="M39" s="123" t="s">
        <v>196</v>
      </c>
      <c r="N39" s="126"/>
      <c r="O39" s="146">
        <v>416001</v>
      </c>
      <c r="P39" s="125">
        <v>500</v>
      </c>
      <c r="Q39" s="125">
        <f>SUM(งบดุลบัญชี!T78)</f>
        <v>0</v>
      </c>
      <c r="R39" s="125">
        <f>SUM(+L39+Q39)</f>
        <v>0</v>
      </c>
      <c r="S39" s="123" t="s">
        <v>196</v>
      </c>
      <c r="T39" s="126"/>
      <c r="U39" s="146">
        <v>416001</v>
      </c>
      <c r="V39" s="125">
        <v>500</v>
      </c>
      <c r="W39" s="125">
        <f>SUM(งบดุลบัญชี!Z78)</f>
        <v>0</v>
      </c>
      <c r="X39" s="125">
        <f>SUM(+R39+W39)</f>
        <v>0</v>
      </c>
      <c r="Y39" s="123" t="s">
        <v>196</v>
      </c>
      <c r="Z39" s="126"/>
      <c r="AA39" s="146">
        <v>416001</v>
      </c>
      <c r="AB39" s="125">
        <v>500</v>
      </c>
      <c r="AC39" s="125">
        <f>SUM(งบดุลบัญชี!AF78)</f>
        <v>0</v>
      </c>
      <c r="AD39" s="125">
        <f>SUM(+X39+AC39)</f>
        <v>0</v>
      </c>
      <c r="AE39" s="123" t="s">
        <v>196</v>
      </c>
      <c r="AF39" s="126"/>
      <c r="AG39" s="146">
        <v>416001</v>
      </c>
      <c r="AH39" s="125">
        <v>500</v>
      </c>
      <c r="AI39" s="125">
        <f>SUM(งบดุลบัญชี!AL78)</f>
        <v>0</v>
      </c>
      <c r="AJ39" s="125">
        <f>SUM(+AD39+AI39)</f>
        <v>0</v>
      </c>
    </row>
    <row r="40" spans="1:36" s="108" customFormat="1" ht="18.75">
      <c r="A40" s="418" t="s">
        <v>17</v>
      </c>
      <c r="B40" s="419"/>
      <c r="C40" s="420"/>
      <c r="D40" s="29">
        <f>SUM(D39)</f>
        <v>500</v>
      </c>
      <c r="E40" s="29">
        <f>SUM(E39)</f>
        <v>0</v>
      </c>
      <c r="F40" s="29">
        <f>SUM(F39)</f>
        <v>0</v>
      </c>
      <c r="G40" s="418" t="s">
        <v>17</v>
      </c>
      <c r="H40" s="419"/>
      <c r="I40" s="420"/>
      <c r="J40" s="29">
        <f>SUM(J39)</f>
        <v>500</v>
      </c>
      <c r="K40" s="29">
        <f>SUM(K39)</f>
        <v>0</v>
      </c>
      <c r="L40" s="29">
        <f>SUM(L39)</f>
        <v>0</v>
      </c>
      <c r="M40" s="418" t="s">
        <v>17</v>
      </c>
      <c r="N40" s="419"/>
      <c r="O40" s="420"/>
      <c r="P40" s="29">
        <f>SUM(P39)</f>
        <v>500</v>
      </c>
      <c r="Q40" s="29">
        <f>SUM(Q39)</f>
        <v>0</v>
      </c>
      <c r="R40" s="29">
        <f>SUM(R39)</f>
        <v>0</v>
      </c>
      <c r="S40" s="418" t="s">
        <v>17</v>
      </c>
      <c r="T40" s="419"/>
      <c r="U40" s="420"/>
      <c r="V40" s="29">
        <f>SUM(V39)</f>
        <v>500</v>
      </c>
      <c r="W40" s="29">
        <f>SUM(W39)</f>
        <v>0</v>
      </c>
      <c r="X40" s="29">
        <f>SUM(X39)</f>
        <v>0</v>
      </c>
      <c r="Y40" s="418" t="s">
        <v>17</v>
      </c>
      <c r="Z40" s="419"/>
      <c r="AA40" s="420"/>
      <c r="AB40" s="29">
        <f>SUM(AB39)</f>
        <v>500</v>
      </c>
      <c r="AC40" s="29">
        <f>SUM(AC39)</f>
        <v>0</v>
      </c>
      <c r="AD40" s="29">
        <f>SUM(AD39)</f>
        <v>0</v>
      </c>
      <c r="AE40" s="418" t="s">
        <v>17</v>
      </c>
      <c r="AF40" s="419"/>
      <c r="AG40" s="420"/>
      <c r="AH40" s="29">
        <f>SUM(AH39)</f>
        <v>500</v>
      </c>
      <c r="AI40" s="29">
        <f>SUM(AI39)</f>
        <v>0</v>
      </c>
      <c r="AJ40" s="29">
        <f>SUM(AJ39)</f>
        <v>0</v>
      </c>
    </row>
    <row r="41" spans="1:36" s="108" customFormat="1" ht="18.75">
      <c r="A41" s="383"/>
      <c r="B41" s="383"/>
      <c r="C41" s="383"/>
      <c r="D41" s="421"/>
      <c r="E41" s="421"/>
      <c r="F41" s="421"/>
      <c r="G41" s="440"/>
      <c r="H41" s="440"/>
      <c r="I41" s="440"/>
      <c r="J41" s="421"/>
      <c r="K41" s="421"/>
      <c r="L41" s="421"/>
      <c r="M41" s="482"/>
      <c r="N41" s="482"/>
      <c r="O41" s="482"/>
      <c r="P41" s="421"/>
      <c r="Q41" s="421"/>
      <c r="R41" s="421"/>
      <c r="S41" s="491"/>
      <c r="T41" s="491"/>
      <c r="U41" s="491"/>
      <c r="V41" s="421"/>
      <c r="W41" s="421"/>
      <c r="X41" s="421"/>
      <c r="Y41" s="519"/>
      <c r="Z41" s="519"/>
      <c r="AA41" s="519"/>
      <c r="AB41" s="421"/>
      <c r="AC41" s="421"/>
      <c r="AD41" s="421"/>
      <c r="AE41" s="568"/>
      <c r="AF41" s="568"/>
      <c r="AG41" s="568"/>
      <c r="AH41" s="421"/>
      <c r="AI41" s="421"/>
      <c r="AJ41" s="421"/>
    </row>
    <row r="42" spans="1:36" s="108" customFormat="1" ht="18.75">
      <c r="A42" s="383"/>
      <c r="B42" s="383"/>
      <c r="C42" s="383"/>
      <c r="D42" s="106"/>
      <c r="E42" s="106"/>
      <c r="F42" s="106"/>
      <c r="G42" s="440"/>
      <c r="H42" s="440"/>
      <c r="I42" s="440"/>
      <c r="J42" s="106"/>
      <c r="K42" s="106"/>
      <c r="L42" s="106"/>
      <c r="M42" s="482"/>
      <c r="N42" s="482"/>
      <c r="O42" s="482"/>
      <c r="P42" s="106"/>
      <c r="Q42" s="106"/>
      <c r="R42" s="106"/>
      <c r="S42" s="491"/>
      <c r="T42" s="491"/>
      <c r="U42" s="491"/>
      <c r="V42" s="106"/>
      <c r="W42" s="106"/>
      <c r="X42" s="106"/>
      <c r="Y42" s="519"/>
      <c r="Z42" s="519"/>
      <c r="AA42" s="519"/>
      <c r="AB42" s="106"/>
      <c r="AC42" s="106"/>
      <c r="AD42" s="106"/>
      <c r="AE42" s="568"/>
      <c r="AF42" s="568"/>
      <c r="AG42" s="568"/>
      <c r="AH42" s="106"/>
      <c r="AI42" s="106"/>
      <c r="AJ42" s="106"/>
    </row>
    <row r="43" spans="1:36" s="108" customFormat="1" ht="18.75">
      <c r="A43" s="383"/>
      <c r="B43" s="383"/>
      <c r="C43" s="383"/>
      <c r="D43" s="106"/>
      <c r="E43" s="106"/>
      <c r="F43" s="106"/>
      <c r="G43" s="440"/>
      <c r="H43" s="440"/>
      <c r="I43" s="440"/>
      <c r="J43" s="106"/>
      <c r="K43" s="106"/>
      <c r="L43" s="106"/>
      <c r="M43" s="482"/>
      <c r="N43" s="482"/>
      <c r="O43" s="482"/>
      <c r="P43" s="106"/>
      <c r="Q43" s="106"/>
      <c r="R43" s="106"/>
      <c r="S43" s="491"/>
      <c r="T43" s="491"/>
      <c r="U43" s="491"/>
      <c r="V43" s="106"/>
      <c r="W43" s="106"/>
      <c r="X43" s="106"/>
      <c r="Y43" s="519"/>
      <c r="Z43" s="519"/>
      <c r="AA43" s="519"/>
      <c r="AB43" s="106"/>
      <c r="AC43" s="106"/>
      <c r="AD43" s="106"/>
      <c r="AE43" s="568"/>
      <c r="AF43" s="568"/>
      <c r="AG43" s="568"/>
      <c r="AH43" s="106"/>
      <c r="AI43" s="106"/>
      <c r="AJ43" s="106"/>
    </row>
    <row r="44" spans="1:36" s="108" customFormat="1" ht="18.75">
      <c r="A44" s="383"/>
      <c r="B44" s="383"/>
      <c r="C44" s="383"/>
      <c r="D44" s="422"/>
      <c r="E44" s="106"/>
      <c r="F44" s="106"/>
      <c r="G44" s="440"/>
      <c r="H44" s="440"/>
      <c r="I44" s="440"/>
      <c r="J44" s="422"/>
      <c r="K44" s="106"/>
      <c r="L44" s="106"/>
      <c r="M44" s="482"/>
      <c r="N44" s="482"/>
      <c r="O44" s="482"/>
      <c r="P44" s="422"/>
      <c r="Q44" s="106"/>
      <c r="R44" s="106"/>
      <c r="S44" s="491"/>
      <c r="T44" s="491"/>
      <c r="U44" s="491"/>
      <c r="V44" s="422"/>
      <c r="W44" s="106"/>
      <c r="X44" s="106"/>
      <c r="Y44" s="519"/>
      <c r="Z44" s="519"/>
      <c r="AA44" s="519"/>
      <c r="AB44" s="422"/>
      <c r="AC44" s="106"/>
      <c r="AD44" s="106"/>
      <c r="AE44" s="568"/>
      <c r="AF44" s="568"/>
      <c r="AG44" s="568"/>
      <c r="AH44" s="422"/>
      <c r="AI44" s="106"/>
      <c r="AJ44" s="106"/>
    </row>
    <row r="45" spans="1:36" s="593" customFormat="1" ht="37.5">
      <c r="A45" s="570" t="s">
        <v>0</v>
      </c>
      <c r="B45" s="571"/>
      <c r="C45" s="360" t="s">
        <v>139</v>
      </c>
      <c r="D45" s="360" t="s">
        <v>16</v>
      </c>
      <c r="E45" s="360" t="s">
        <v>186</v>
      </c>
      <c r="F45" s="360" t="s">
        <v>211</v>
      </c>
      <c r="G45" s="570" t="s">
        <v>0</v>
      </c>
      <c r="H45" s="571"/>
      <c r="I45" s="360" t="s">
        <v>139</v>
      </c>
      <c r="J45" s="360" t="s">
        <v>16</v>
      </c>
      <c r="K45" s="360" t="s">
        <v>186</v>
      </c>
      <c r="L45" s="360" t="s">
        <v>211</v>
      </c>
      <c r="M45" s="570" t="s">
        <v>0</v>
      </c>
      <c r="N45" s="571"/>
      <c r="O45" s="360" t="s">
        <v>139</v>
      </c>
      <c r="P45" s="360" t="s">
        <v>16</v>
      </c>
      <c r="Q45" s="360" t="s">
        <v>186</v>
      </c>
      <c r="R45" s="360" t="s">
        <v>211</v>
      </c>
      <c r="S45" s="570" t="s">
        <v>0</v>
      </c>
      <c r="T45" s="571"/>
      <c r="U45" s="360" t="s">
        <v>139</v>
      </c>
      <c r="V45" s="360" t="s">
        <v>16</v>
      </c>
      <c r="W45" s="360" t="s">
        <v>186</v>
      </c>
      <c r="X45" s="360" t="s">
        <v>211</v>
      </c>
      <c r="Y45" s="570" t="s">
        <v>0</v>
      </c>
      <c r="Z45" s="571"/>
      <c r="AA45" s="360" t="s">
        <v>139</v>
      </c>
      <c r="AB45" s="360" t="s">
        <v>16</v>
      </c>
      <c r="AC45" s="360" t="s">
        <v>186</v>
      </c>
      <c r="AD45" s="360" t="s">
        <v>211</v>
      </c>
      <c r="AE45" s="733" t="s">
        <v>0</v>
      </c>
      <c r="AF45" s="735"/>
      <c r="AG45" s="360" t="s">
        <v>139</v>
      </c>
      <c r="AH45" s="360" t="s">
        <v>16</v>
      </c>
      <c r="AI45" s="360" t="s">
        <v>186</v>
      </c>
      <c r="AJ45" s="592" t="s">
        <v>733</v>
      </c>
    </row>
    <row r="46" spans="1:36" s="108" customFormat="1" ht="18.75">
      <c r="A46" s="414" t="s">
        <v>109</v>
      </c>
      <c r="B46" s="415"/>
      <c r="C46" s="139"/>
      <c r="D46" s="413"/>
      <c r="E46" s="413"/>
      <c r="F46" s="413"/>
      <c r="G46" s="414" t="s">
        <v>109</v>
      </c>
      <c r="H46" s="415"/>
      <c r="I46" s="139"/>
      <c r="J46" s="413"/>
      <c r="K46" s="413"/>
      <c r="L46" s="413"/>
      <c r="M46" s="414" t="s">
        <v>109</v>
      </c>
      <c r="N46" s="415"/>
      <c r="O46" s="139"/>
      <c r="P46" s="413"/>
      <c r="Q46" s="413"/>
      <c r="R46" s="413"/>
      <c r="S46" s="414" t="s">
        <v>109</v>
      </c>
      <c r="T46" s="415"/>
      <c r="U46" s="139"/>
      <c r="V46" s="413"/>
      <c r="W46" s="413"/>
      <c r="X46" s="413"/>
      <c r="Y46" s="414" t="s">
        <v>109</v>
      </c>
      <c r="Z46" s="415"/>
      <c r="AA46" s="139"/>
      <c r="AB46" s="413"/>
      <c r="AC46" s="413"/>
      <c r="AD46" s="413"/>
      <c r="AE46" s="414" t="s">
        <v>109</v>
      </c>
      <c r="AF46" s="415"/>
      <c r="AG46" s="139"/>
      <c r="AH46" s="413"/>
      <c r="AI46" s="413"/>
      <c r="AJ46" s="413"/>
    </row>
    <row r="47" spans="1:36" s="108" customFormat="1" ht="18.75">
      <c r="A47" s="414" t="s">
        <v>110</v>
      </c>
      <c r="B47" s="415"/>
      <c r="C47" s="139">
        <v>421000</v>
      </c>
      <c r="D47" s="413"/>
      <c r="E47" s="413"/>
      <c r="F47" s="413"/>
      <c r="G47" s="414" t="s">
        <v>110</v>
      </c>
      <c r="H47" s="415"/>
      <c r="I47" s="139">
        <v>421000</v>
      </c>
      <c r="J47" s="413"/>
      <c r="K47" s="413"/>
      <c r="L47" s="413"/>
      <c r="M47" s="414" t="s">
        <v>110</v>
      </c>
      <c r="N47" s="415"/>
      <c r="O47" s="139">
        <v>421000</v>
      </c>
      <c r="P47" s="413"/>
      <c r="Q47" s="413"/>
      <c r="R47" s="413"/>
      <c r="S47" s="414" t="s">
        <v>110</v>
      </c>
      <c r="T47" s="415"/>
      <c r="U47" s="139">
        <v>421000</v>
      </c>
      <c r="V47" s="413"/>
      <c r="W47" s="413"/>
      <c r="X47" s="413"/>
      <c r="Y47" s="414" t="s">
        <v>110</v>
      </c>
      <c r="Z47" s="415"/>
      <c r="AA47" s="139">
        <v>421000</v>
      </c>
      <c r="AB47" s="413"/>
      <c r="AC47" s="413"/>
      <c r="AD47" s="413"/>
      <c r="AE47" s="414" t="s">
        <v>110</v>
      </c>
      <c r="AF47" s="415"/>
      <c r="AG47" s="139">
        <v>421000</v>
      </c>
      <c r="AH47" s="413"/>
      <c r="AI47" s="413"/>
      <c r="AJ47" s="413"/>
    </row>
    <row r="48" spans="1:36" ht="18.75">
      <c r="A48" s="123" t="s">
        <v>197</v>
      </c>
      <c r="B48" s="126"/>
      <c r="C48" s="146">
        <v>421002</v>
      </c>
      <c r="D48" s="125">
        <v>6000000</v>
      </c>
      <c r="E48" s="125">
        <f>SUM(งบดุลบัญชี!H81)</f>
        <v>0</v>
      </c>
      <c r="F48" s="125">
        <f aca="true" t="shared" si="6" ref="F48:F56">SUM(E48)</f>
        <v>0</v>
      </c>
      <c r="G48" s="123" t="s">
        <v>197</v>
      </c>
      <c r="H48" s="126"/>
      <c r="I48" s="146">
        <v>421002</v>
      </c>
      <c r="J48" s="125">
        <v>6000000</v>
      </c>
      <c r="K48" s="125">
        <f>SUM(งบดุลบัญชี!N81)</f>
        <v>0</v>
      </c>
      <c r="L48" s="125">
        <f>SUM(+F48+K48)</f>
        <v>0</v>
      </c>
      <c r="M48" s="123" t="s">
        <v>197</v>
      </c>
      <c r="N48" s="126"/>
      <c r="O48" s="146">
        <v>421002</v>
      </c>
      <c r="P48" s="125">
        <v>6000000</v>
      </c>
      <c r="Q48" s="125">
        <f>SUM(งบดุลบัญชี!T81)</f>
        <v>0</v>
      </c>
      <c r="R48" s="125">
        <f aca="true" t="shared" si="7" ref="R48:R56">SUM(+L48+Q48)</f>
        <v>0</v>
      </c>
      <c r="S48" s="123" t="s">
        <v>197</v>
      </c>
      <c r="T48" s="126"/>
      <c r="U48" s="146">
        <v>421002</v>
      </c>
      <c r="V48" s="125">
        <v>6000000</v>
      </c>
      <c r="W48" s="125">
        <f>SUM(งบดุลบัญชี!Z81)</f>
        <v>0</v>
      </c>
      <c r="X48" s="125">
        <f aca="true" t="shared" si="8" ref="X48:X56">SUM(+R48+W48)</f>
        <v>0</v>
      </c>
      <c r="Y48" s="123" t="s">
        <v>197</v>
      </c>
      <c r="Z48" s="126"/>
      <c r="AA48" s="146">
        <v>421002</v>
      </c>
      <c r="AB48" s="125">
        <v>6000000</v>
      </c>
      <c r="AC48" s="125">
        <v>3877298.31</v>
      </c>
      <c r="AD48" s="125">
        <f aca="true" t="shared" si="9" ref="AD48:AD56">SUM(+X48+AC48)</f>
        <v>3877298.31</v>
      </c>
      <c r="AE48" s="123" t="s">
        <v>197</v>
      </c>
      <c r="AF48" s="126"/>
      <c r="AG48" s="146">
        <v>421002</v>
      </c>
      <c r="AH48" s="125">
        <v>6000000</v>
      </c>
      <c r="AI48" s="125">
        <v>0</v>
      </c>
      <c r="AJ48" s="125">
        <f aca="true" t="shared" si="10" ref="AJ48:AJ56">SUM(+AD48+AI48)</f>
        <v>3877298.31</v>
      </c>
    </row>
    <row r="49" spans="1:36" ht="18.75">
      <c r="A49" s="123" t="s">
        <v>198</v>
      </c>
      <c r="B49" s="126"/>
      <c r="C49" s="146">
        <v>421004</v>
      </c>
      <c r="D49" s="125">
        <v>2500000</v>
      </c>
      <c r="E49" s="125">
        <v>251277.81</v>
      </c>
      <c r="F49" s="125">
        <f t="shared" si="6"/>
        <v>251277.81</v>
      </c>
      <c r="G49" s="123" t="s">
        <v>198</v>
      </c>
      <c r="H49" s="126"/>
      <c r="I49" s="146">
        <v>421004</v>
      </c>
      <c r="J49" s="125">
        <v>2500000</v>
      </c>
      <c r="K49" s="125">
        <v>331312.14</v>
      </c>
      <c r="L49" s="125">
        <f aca="true" t="shared" si="11" ref="L49:L56">SUM(+F49+K49)</f>
        <v>582589.95</v>
      </c>
      <c r="M49" s="123" t="s">
        <v>198</v>
      </c>
      <c r="N49" s="126"/>
      <c r="O49" s="146">
        <v>421004</v>
      </c>
      <c r="P49" s="125">
        <v>2500000</v>
      </c>
      <c r="Q49" s="125">
        <v>0</v>
      </c>
      <c r="R49" s="125">
        <f t="shared" si="7"/>
        <v>582589.95</v>
      </c>
      <c r="S49" s="123" t="s">
        <v>198</v>
      </c>
      <c r="T49" s="126"/>
      <c r="U49" s="146">
        <v>421004</v>
      </c>
      <c r="V49" s="125">
        <v>2500000</v>
      </c>
      <c r="W49" s="125">
        <v>228309.12</v>
      </c>
      <c r="X49" s="125">
        <f t="shared" si="8"/>
        <v>810899.07</v>
      </c>
      <c r="Y49" s="123" t="s">
        <v>198</v>
      </c>
      <c r="Z49" s="126"/>
      <c r="AA49" s="146">
        <v>421004</v>
      </c>
      <c r="AB49" s="125">
        <v>2500000</v>
      </c>
      <c r="AC49" s="125">
        <v>305521.44</v>
      </c>
      <c r="AD49" s="125">
        <f t="shared" si="9"/>
        <v>1116420.51</v>
      </c>
      <c r="AE49" s="123" t="s">
        <v>198</v>
      </c>
      <c r="AF49" s="126"/>
      <c r="AG49" s="146">
        <v>421004</v>
      </c>
      <c r="AH49" s="125">
        <v>2500000</v>
      </c>
      <c r="AI49" s="125">
        <v>0</v>
      </c>
      <c r="AJ49" s="125">
        <f t="shared" si="10"/>
        <v>1116420.51</v>
      </c>
    </row>
    <row r="50" spans="1:36" ht="18.75">
      <c r="A50" s="123" t="s">
        <v>199</v>
      </c>
      <c r="B50" s="126"/>
      <c r="C50" s="146">
        <v>421005</v>
      </c>
      <c r="D50" s="125">
        <v>70000</v>
      </c>
      <c r="E50" s="125">
        <v>0</v>
      </c>
      <c r="F50" s="125">
        <f t="shared" si="6"/>
        <v>0</v>
      </c>
      <c r="G50" s="123" t="s">
        <v>199</v>
      </c>
      <c r="H50" s="126"/>
      <c r="I50" s="146">
        <v>421005</v>
      </c>
      <c r="J50" s="125">
        <v>70000</v>
      </c>
      <c r="K50" s="125">
        <v>0</v>
      </c>
      <c r="L50" s="125">
        <f t="shared" si="11"/>
        <v>0</v>
      </c>
      <c r="M50" s="123" t="s">
        <v>199</v>
      </c>
      <c r="N50" s="126"/>
      <c r="O50" s="146">
        <v>421005</v>
      </c>
      <c r="P50" s="125">
        <v>70000</v>
      </c>
      <c r="Q50" s="125">
        <v>34533.45</v>
      </c>
      <c r="R50" s="125">
        <f t="shared" si="7"/>
        <v>34533.45</v>
      </c>
      <c r="S50" s="123" t="s">
        <v>199</v>
      </c>
      <c r="T50" s="126"/>
      <c r="U50" s="146">
        <v>421005</v>
      </c>
      <c r="V50" s="125">
        <v>70000</v>
      </c>
      <c r="W50" s="125">
        <v>0</v>
      </c>
      <c r="X50" s="125">
        <f t="shared" si="8"/>
        <v>34533.45</v>
      </c>
      <c r="Y50" s="123" t="s">
        <v>199</v>
      </c>
      <c r="Z50" s="126"/>
      <c r="AA50" s="146">
        <v>421005</v>
      </c>
      <c r="AB50" s="125">
        <v>70000</v>
      </c>
      <c r="AC50" s="125">
        <v>0</v>
      </c>
      <c r="AD50" s="125">
        <f t="shared" si="9"/>
        <v>34533.45</v>
      </c>
      <c r="AE50" s="123" t="s">
        <v>199</v>
      </c>
      <c r="AF50" s="126"/>
      <c r="AG50" s="146">
        <v>421005</v>
      </c>
      <c r="AH50" s="125">
        <v>70000</v>
      </c>
      <c r="AI50" s="125">
        <v>35236.23</v>
      </c>
      <c r="AJ50" s="125">
        <f t="shared" si="10"/>
        <v>69769.68</v>
      </c>
    </row>
    <row r="51" spans="1:36" ht="18.75">
      <c r="A51" s="123" t="s">
        <v>200</v>
      </c>
      <c r="B51" s="126"/>
      <c r="C51" s="146">
        <v>421006</v>
      </c>
      <c r="D51" s="125">
        <v>1100000</v>
      </c>
      <c r="E51" s="125">
        <v>89716.27</v>
      </c>
      <c r="F51" s="125">
        <f t="shared" si="6"/>
        <v>89716.27</v>
      </c>
      <c r="G51" s="123" t="s">
        <v>200</v>
      </c>
      <c r="H51" s="126"/>
      <c r="I51" s="146">
        <v>421006</v>
      </c>
      <c r="J51" s="125">
        <v>1100000</v>
      </c>
      <c r="K51" s="125">
        <v>188583</v>
      </c>
      <c r="L51" s="125">
        <f t="shared" si="11"/>
        <v>278299.27</v>
      </c>
      <c r="M51" s="123" t="s">
        <v>200</v>
      </c>
      <c r="N51" s="126"/>
      <c r="O51" s="146">
        <v>421006</v>
      </c>
      <c r="P51" s="125">
        <v>1100000</v>
      </c>
      <c r="Q51" s="125">
        <v>0</v>
      </c>
      <c r="R51" s="125">
        <f t="shared" si="7"/>
        <v>278299.27</v>
      </c>
      <c r="S51" s="123" t="s">
        <v>200</v>
      </c>
      <c r="T51" s="126"/>
      <c r="U51" s="146">
        <v>421006</v>
      </c>
      <c r="V51" s="125">
        <v>1100000</v>
      </c>
      <c r="W51" s="125">
        <v>154014.39</v>
      </c>
      <c r="X51" s="125">
        <f t="shared" si="8"/>
        <v>432313.66000000003</v>
      </c>
      <c r="Y51" s="123" t="s">
        <v>200</v>
      </c>
      <c r="Z51" s="126"/>
      <c r="AA51" s="146">
        <v>421006</v>
      </c>
      <c r="AB51" s="125">
        <v>1100000</v>
      </c>
      <c r="AC51" s="125">
        <v>205483.83</v>
      </c>
      <c r="AD51" s="125">
        <f t="shared" si="9"/>
        <v>637797.49</v>
      </c>
      <c r="AE51" s="123" t="s">
        <v>200</v>
      </c>
      <c r="AF51" s="126"/>
      <c r="AG51" s="146">
        <v>421006</v>
      </c>
      <c r="AH51" s="125">
        <v>1100000</v>
      </c>
      <c r="AI51" s="125">
        <v>0</v>
      </c>
      <c r="AJ51" s="125">
        <f t="shared" si="10"/>
        <v>637797.49</v>
      </c>
    </row>
    <row r="52" spans="1:36" ht="18.75">
      <c r="A52" s="123" t="s">
        <v>201</v>
      </c>
      <c r="B52" s="126"/>
      <c r="C52" s="146">
        <v>421007</v>
      </c>
      <c r="D52" s="125">
        <v>2350000</v>
      </c>
      <c r="E52" s="125">
        <v>201289.29</v>
      </c>
      <c r="F52" s="125">
        <f t="shared" si="6"/>
        <v>201289.29</v>
      </c>
      <c r="G52" s="123" t="s">
        <v>201</v>
      </c>
      <c r="H52" s="126"/>
      <c r="I52" s="146">
        <v>421007</v>
      </c>
      <c r="J52" s="125">
        <v>2350000</v>
      </c>
      <c r="K52" s="125">
        <v>206019.84</v>
      </c>
      <c r="L52" s="125">
        <f t="shared" si="11"/>
        <v>407309.13</v>
      </c>
      <c r="M52" s="123" t="s">
        <v>201</v>
      </c>
      <c r="N52" s="126"/>
      <c r="O52" s="146">
        <v>421007</v>
      </c>
      <c r="P52" s="125">
        <v>2350000</v>
      </c>
      <c r="Q52" s="125">
        <v>0</v>
      </c>
      <c r="R52" s="125">
        <f t="shared" si="7"/>
        <v>407309.13</v>
      </c>
      <c r="S52" s="123" t="s">
        <v>201</v>
      </c>
      <c r="T52" s="126"/>
      <c r="U52" s="146">
        <v>421007</v>
      </c>
      <c r="V52" s="125">
        <v>2350000</v>
      </c>
      <c r="W52" s="125">
        <v>187616.17</v>
      </c>
      <c r="X52" s="125">
        <f t="shared" si="8"/>
        <v>594925.3</v>
      </c>
      <c r="Y52" s="123" t="s">
        <v>201</v>
      </c>
      <c r="Z52" s="126"/>
      <c r="AA52" s="146">
        <v>421007</v>
      </c>
      <c r="AB52" s="125">
        <v>2350000</v>
      </c>
      <c r="AC52" s="125">
        <v>233446.73</v>
      </c>
      <c r="AD52" s="125">
        <f t="shared" si="9"/>
        <v>828372.03</v>
      </c>
      <c r="AE52" s="123" t="s">
        <v>201</v>
      </c>
      <c r="AF52" s="126"/>
      <c r="AG52" s="146">
        <v>421007</v>
      </c>
      <c r="AH52" s="125">
        <v>2350000</v>
      </c>
      <c r="AI52" s="125">
        <v>0</v>
      </c>
      <c r="AJ52" s="125">
        <f t="shared" si="10"/>
        <v>828372.03</v>
      </c>
    </row>
    <row r="53" spans="1:36" ht="18.75">
      <c r="A53" s="123" t="s">
        <v>202</v>
      </c>
      <c r="B53" s="126"/>
      <c r="C53" s="146">
        <v>421012</v>
      </c>
      <c r="D53" s="125">
        <v>80000</v>
      </c>
      <c r="E53" s="125">
        <v>33848.69</v>
      </c>
      <c r="F53" s="125">
        <f t="shared" si="6"/>
        <v>33848.69</v>
      </c>
      <c r="G53" s="123" t="s">
        <v>202</v>
      </c>
      <c r="H53" s="126"/>
      <c r="I53" s="146">
        <v>421012</v>
      </c>
      <c r="J53" s="125">
        <v>80000</v>
      </c>
      <c r="K53" s="125">
        <v>0</v>
      </c>
      <c r="L53" s="125">
        <f t="shared" si="11"/>
        <v>33848.69</v>
      </c>
      <c r="M53" s="123" t="s">
        <v>202</v>
      </c>
      <c r="N53" s="126"/>
      <c r="O53" s="146">
        <v>421012</v>
      </c>
      <c r="P53" s="125">
        <v>80000</v>
      </c>
      <c r="Q53" s="125">
        <v>0</v>
      </c>
      <c r="R53" s="125">
        <f t="shared" si="7"/>
        <v>33848.69</v>
      </c>
      <c r="S53" s="123" t="s">
        <v>202</v>
      </c>
      <c r="T53" s="126"/>
      <c r="U53" s="146">
        <v>421012</v>
      </c>
      <c r="V53" s="125">
        <v>80000</v>
      </c>
      <c r="W53" s="125">
        <v>0</v>
      </c>
      <c r="X53" s="125">
        <f t="shared" si="8"/>
        <v>33848.69</v>
      </c>
      <c r="Y53" s="123" t="s">
        <v>202</v>
      </c>
      <c r="Z53" s="126"/>
      <c r="AA53" s="146">
        <v>421012</v>
      </c>
      <c r="AB53" s="125">
        <v>80000</v>
      </c>
      <c r="AC53" s="125">
        <v>0</v>
      </c>
      <c r="AD53" s="125">
        <f t="shared" si="9"/>
        <v>33848.69</v>
      </c>
      <c r="AE53" s="123" t="s">
        <v>202</v>
      </c>
      <c r="AF53" s="126"/>
      <c r="AG53" s="146">
        <v>421012</v>
      </c>
      <c r="AH53" s="125">
        <v>80000</v>
      </c>
      <c r="AI53" s="125">
        <v>0</v>
      </c>
      <c r="AJ53" s="125">
        <f t="shared" si="10"/>
        <v>33848.69</v>
      </c>
    </row>
    <row r="54" spans="1:36" ht="18.75">
      <c r="A54" s="123" t="s">
        <v>203</v>
      </c>
      <c r="B54" s="126"/>
      <c r="C54" s="146">
        <v>421013</v>
      </c>
      <c r="D54" s="125">
        <v>160000</v>
      </c>
      <c r="E54" s="125">
        <v>33467.26</v>
      </c>
      <c r="F54" s="125">
        <f t="shared" si="6"/>
        <v>33467.26</v>
      </c>
      <c r="G54" s="123" t="s">
        <v>203</v>
      </c>
      <c r="H54" s="126"/>
      <c r="I54" s="146">
        <v>421013</v>
      </c>
      <c r="J54" s="125">
        <v>160000</v>
      </c>
      <c r="K54" s="125">
        <v>0</v>
      </c>
      <c r="L54" s="125">
        <f t="shared" si="11"/>
        <v>33467.26</v>
      </c>
      <c r="M54" s="123" t="s">
        <v>203</v>
      </c>
      <c r="N54" s="126"/>
      <c r="O54" s="146">
        <v>421013</v>
      </c>
      <c r="P54" s="125">
        <v>160000</v>
      </c>
      <c r="Q54" s="125">
        <v>0</v>
      </c>
      <c r="R54" s="125">
        <f t="shared" si="7"/>
        <v>33467.26</v>
      </c>
      <c r="S54" s="123" t="s">
        <v>203</v>
      </c>
      <c r="T54" s="126"/>
      <c r="U54" s="146">
        <v>421013</v>
      </c>
      <c r="V54" s="125">
        <v>160000</v>
      </c>
      <c r="W54" s="125">
        <v>0</v>
      </c>
      <c r="X54" s="125">
        <f t="shared" si="8"/>
        <v>33467.26</v>
      </c>
      <c r="Y54" s="123" t="s">
        <v>203</v>
      </c>
      <c r="Z54" s="126"/>
      <c r="AA54" s="146">
        <v>421013</v>
      </c>
      <c r="AB54" s="125">
        <v>160000</v>
      </c>
      <c r="AC54" s="125">
        <v>28142.85</v>
      </c>
      <c r="AD54" s="125">
        <f t="shared" si="9"/>
        <v>61610.11</v>
      </c>
      <c r="AE54" s="123" t="s">
        <v>203</v>
      </c>
      <c r="AF54" s="126"/>
      <c r="AG54" s="146">
        <v>421013</v>
      </c>
      <c r="AH54" s="125">
        <v>160000</v>
      </c>
      <c r="AI54" s="125">
        <v>0</v>
      </c>
      <c r="AJ54" s="125">
        <f t="shared" si="10"/>
        <v>61610.11</v>
      </c>
    </row>
    <row r="55" spans="1:36" ht="18.75">
      <c r="A55" s="123" t="s">
        <v>204</v>
      </c>
      <c r="B55" s="126"/>
      <c r="C55" s="146">
        <v>421014</v>
      </c>
      <c r="D55" s="125">
        <v>10000</v>
      </c>
      <c r="E55" s="125">
        <v>0</v>
      </c>
      <c r="F55" s="125">
        <f t="shared" si="6"/>
        <v>0</v>
      </c>
      <c r="G55" s="123" t="s">
        <v>204</v>
      </c>
      <c r="H55" s="126"/>
      <c r="I55" s="146">
        <v>421014</v>
      </c>
      <c r="J55" s="125">
        <v>10000</v>
      </c>
      <c r="K55" s="125">
        <v>0</v>
      </c>
      <c r="L55" s="125">
        <f t="shared" si="11"/>
        <v>0</v>
      </c>
      <c r="M55" s="123" t="s">
        <v>204</v>
      </c>
      <c r="N55" s="126"/>
      <c r="O55" s="146">
        <v>421014</v>
      </c>
      <c r="P55" s="125">
        <v>10000</v>
      </c>
      <c r="Q55" s="125">
        <v>0</v>
      </c>
      <c r="R55" s="125">
        <f t="shared" si="7"/>
        <v>0</v>
      </c>
      <c r="S55" s="123" t="s">
        <v>204</v>
      </c>
      <c r="T55" s="126"/>
      <c r="U55" s="146">
        <v>421014</v>
      </c>
      <c r="V55" s="125">
        <v>10000</v>
      </c>
      <c r="W55" s="125">
        <v>0</v>
      </c>
      <c r="X55" s="125">
        <f t="shared" si="8"/>
        <v>0</v>
      </c>
      <c r="Y55" s="123" t="s">
        <v>204</v>
      </c>
      <c r="Z55" s="126"/>
      <c r="AA55" s="146">
        <v>421014</v>
      </c>
      <c r="AB55" s="125">
        <v>10000</v>
      </c>
      <c r="AC55" s="125">
        <v>0</v>
      </c>
      <c r="AD55" s="125">
        <f t="shared" si="9"/>
        <v>0</v>
      </c>
      <c r="AE55" s="123" t="s">
        <v>204</v>
      </c>
      <c r="AF55" s="126"/>
      <c r="AG55" s="146">
        <v>421014</v>
      </c>
      <c r="AH55" s="125">
        <v>10000</v>
      </c>
      <c r="AI55" s="125">
        <v>0</v>
      </c>
      <c r="AJ55" s="125">
        <f t="shared" si="10"/>
        <v>0</v>
      </c>
    </row>
    <row r="56" spans="1:36" ht="18.75">
      <c r="A56" s="123" t="s">
        <v>205</v>
      </c>
      <c r="B56" s="126"/>
      <c r="C56" s="146">
        <v>421015</v>
      </c>
      <c r="D56" s="125">
        <v>480000</v>
      </c>
      <c r="E56" s="125">
        <v>19377</v>
      </c>
      <c r="F56" s="125">
        <f t="shared" si="6"/>
        <v>19377</v>
      </c>
      <c r="G56" s="123" t="s">
        <v>205</v>
      </c>
      <c r="H56" s="126"/>
      <c r="I56" s="146">
        <v>421015</v>
      </c>
      <c r="J56" s="125">
        <v>480000</v>
      </c>
      <c r="K56" s="125">
        <v>51279</v>
      </c>
      <c r="L56" s="125">
        <f t="shared" si="11"/>
        <v>70656</v>
      </c>
      <c r="M56" s="123" t="s">
        <v>205</v>
      </c>
      <c r="N56" s="126"/>
      <c r="O56" s="146">
        <v>421015</v>
      </c>
      <c r="P56" s="125">
        <v>480000</v>
      </c>
      <c r="Q56" s="125">
        <v>82876</v>
      </c>
      <c r="R56" s="125">
        <f t="shared" si="7"/>
        <v>153532</v>
      </c>
      <c r="S56" s="123" t="s">
        <v>205</v>
      </c>
      <c r="T56" s="126"/>
      <c r="U56" s="146">
        <v>421015</v>
      </c>
      <c r="V56" s="125">
        <v>480000</v>
      </c>
      <c r="W56" s="125">
        <v>43455</v>
      </c>
      <c r="X56" s="125">
        <f t="shared" si="8"/>
        <v>196987</v>
      </c>
      <c r="Y56" s="123" t="s">
        <v>205</v>
      </c>
      <c r="Z56" s="126"/>
      <c r="AA56" s="146">
        <v>421015</v>
      </c>
      <c r="AB56" s="125">
        <v>480000</v>
      </c>
      <c r="AC56" s="125">
        <v>31241</v>
      </c>
      <c r="AD56" s="125">
        <f t="shared" si="9"/>
        <v>228228</v>
      </c>
      <c r="AE56" s="123" t="s">
        <v>205</v>
      </c>
      <c r="AF56" s="126"/>
      <c r="AG56" s="146">
        <v>421015</v>
      </c>
      <c r="AH56" s="125">
        <v>480000</v>
      </c>
      <c r="AI56" s="125">
        <v>51026</v>
      </c>
      <c r="AJ56" s="125">
        <f t="shared" si="10"/>
        <v>279254</v>
      </c>
    </row>
    <row r="57" spans="1:36" s="108" customFormat="1" ht="18.75">
      <c r="A57" s="132" t="s">
        <v>17</v>
      </c>
      <c r="B57" s="388"/>
      <c r="C57" s="139"/>
      <c r="D57" s="29">
        <f>SUM(D48:D56)</f>
        <v>12750000</v>
      </c>
      <c r="E57" s="29">
        <f>SUM(E48:E56)</f>
        <v>628976.3200000001</v>
      </c>
      <c r="F57" s="29">
        <f>SUM(F48:F56)</f>
        <v>628976.3200000001</v>
      </c>
      <c r="G57" s="132" t="s">
        <v>17</v>
      </c>
      <c r="H57" s="442"/>
      <c r="I57" s="139"/>
      <c r="J57" s="29">
        <f>SUM(J48:J56)</f>
        <v>12750000</v>
      </c>
      <c r="K57" s="29">
        <f>SUM(K48:K56)</f>
        <v>777193.98</v>
      </c>
      <c r="L57" s="29">
        <f>SUM(L48:L56)</f>
        <v>1406170.3</v>
      </c>
      <c r="M57" s="132" t="s">
        <v>17</v>
      </c>
      <c r="N57" s="484"/>
      <c r="O57" s="139"/>
      <c r="P57" s="29">
        <f>SUM(P48:P56)</f>
        <v>12750000</v>
      </c>
      <c r="Q57" s="29">
        <f>SUM(Q48:Q56)</f>
        <v>117409.45</v>
      </c>
      <c r="R57" s="29">
        <f>SUM(R48:R56)</f>
        <v>1523579.7499999998</v>
      </c>
      <c r="S57" s="132" t="s">
        <v>17</v>
      </c>
      <c r="T57" s="494"/>
      <c r="U57" s="139"/>
      <c r="V57" s="29">
        <f>SUM(V48:V56)</f>
        <v>12750000</v>
      </c>
      <c r="W57" s="29">
        <f>SUM(W48:W56)</f>
        <v>613394.68</v>
      </c>
      <c r="X57" s="29">
        <f>SUM(X48:X56)</f>
        <v>2136974.4299999997</v>
      </c>
      <c r="Y57" s="132" t="s">
        <v>17</v>
      </c>
      <c r="Z57" s="523"/>
      <c r="AA57" s="139"/>
      <c r="AB57" s="29">
        <f>SUM(AB48:AB56)</f>
        <v>12750000</v>
      </c>
      <c r="AC57" s="29">
        <f>SUM(AC48:AC56)</f>
        <v>4681134.16</v>
      </c>
      <c r="AD57" s="29">
        <f>SUM(AD48:AD56)</f>
        <v>6818108.590000002</v>
      </c>
      <c r="AE57" s="132" t="s">
        <v>17</v>
      </c>
      <c r="AF57" s="573"/>
      <c r="AG57" s="139"/>
      <c r="AH57" s="29">
        <f>SUM(AH48:AH56)</f>
        <v>12750000</v>
      </c>
      <c r="AI57" s="29">
        <f>SUM(AI48:AI56)</f>
        <v>86262.23000000001</v>
      </c>
      <c r="AJ57" s="29">
        <f>SUM(AJ48:AJ56)</f>
        <v>6904370.820000001</v>
      </c>
    </row>
    <row r="58" spans="1:36" s="108" customFormat="1" ht="18.75">
      <c r="A58" s="414" t="s">
        <v>111</v>
      </c>
      <c r="B58" s="415"/>
      <c r="C58" s="139"/>
      <c r="D58" s="413"/>
      <c r="E58" s="413"/>
      <c r="F58" s="413"/>
      <c r="G58" s="414" t="s">
        <v>111</v>
      </c>
      <c r="H58" s="415"/>
      <c r="I58" s="139"/>
      <c r="J58" s="413"/>
      <c r="K58" s="413"/>
      <c r="L58" s="413"/>
      <c r="M58" s="414" t="s">
        <v>111</v>
      </c>
      <c r="N58" s="415"/>
      <c r="O58" s="139"/>
      <c r="P58" s="413"/>
      <c r="Q58" s="413"/>
      <c r="R58" s="413"/>
      <c r="S58" s="414" t="s">
        <v>111</v>
      </c>
      <c r="T58" s="415"/>
      <c r="U58" s="139"/>
      <c r="V58" s="413"/>
      <c r="W58" s="413"/>
      <c r="X58" s="413"/>
      <c r="Y58" s="414" t="s">
        <v>111</v>
      </c>
      <c r="Z58" s="415"/>
      <c r="AA58" s="139"/>
      <c r="AB58" s="413"/>
      <c r="AC58" s="413"/>
      <c r="AD58" s="413"/>
      <c r="AE58" s="414" t="s">
        <v>111</v>
      </c>
      <c r="AF58" s="415"/>
      <c r="AG58" s="139"/>
      <c r="AH58" s="413"/>
      <c r="AI58" s="413"/>
      <c r="AJ58" s="413"/>
    </row>
    <row r="59" spans="1:36" s="108" customFormat="1" ht="18.75">
      <c r="A59" s="414" t="s">
        <v>112</v>
      </c>
      <c r="B59" s="415"/>
      <c r="C59" s="139">
        <v>431000</v>
      </c>
      <c r="D59" s="413"/>
      <c r="E59" s="413"/>
      <c r="F59" s="413"/>
      <c r="G59" s="414" t="s">
        <v>112</v>
      </c>
      <c r="H59" s="415"/>
      <c r="I59" s="139">
        <v>431000</v>
      </c>
      <c r="J59" s="413"/>
      <c r="K59" s="413"/>
      <c r="L59" s="413"/>
      <c r="M59" s="414" t="s">
        <v>112</v>
      </c>
      <c r="N59" s="415"/>
      <c r="O59" s="139">
        <v>431000</v>
      </c>
      <c r="P59" s="413"/>
      <c r="Q59" s="413"/>
      <c r="R59" s="413"/>
      <c r="S59" s="414" t="s">
        <v>112</v>
      </c>
      <c r="T59" s="415"/>
      <c r="U59" s="139">
        <v>431000</v>
      </c>
      <c r="V59" s="413"/>
      <c r="W59" s="413"/>
      <c r="X59" s="413"/>
      <c r="Y59" s="414" t="s">
        <v>112</v>
      </c>
      <c r="Z59" s="415"/>
      <c r="AA59" s="139">
        <v>431000</v>
      </c>
      <c r="AB59" s="413"/>
      <c r="AC59" s="413"/>
      <c r="AD59" s="413"/>
      <c r="AE59" s="414" t="s">
        <v>112</v>
      </c>
      <c r="AF59" s="415"/>
      <c r="AG59" s="139">
        <v>431000</v>
      </c>
      <c r="AH59" s="413"/>
      <c r="AI59" s="413"/>
      <c r="AJ59" s="413"/>
    </row>
    <row r="60" spans="1:36" ht="18.75">
      <c r="A60" s="123" t="s">
        <v>596</v>
      </c>
      <c r="B60" s="126"/>
      <c r="C60" s="146">
        <v>431002</v>
      </c>
      <c r="D60" s="125">
        <v>17000000</v>
      </c>
      <c r="E60" s="125">
        <f>SUM(งบดุลบัญชี!H92)</f>
        <v>0</v>
      </c>
      <c r="F60" s="125">
        <f>SUM(E60)</f>
        <v>0</v>
      </c>
      <c r="G60" s="123" t="s">
        <v>596</v>
      </c>
      <c r="H60" s="126"/>
      <c r="I60" s="146">
        <v>431002</v>
      </c>
      <c r="J60" s="125">
        <v>17000000</v>
      </c>
      <c r="K60" s="125">
        <f>SUM(งบดุลบัญชี!N92)</f>
        <v>0</v>
      </c>
      <c r="L60" s="125">
        <f>SUM(+F60+K60)</f>
        <v>0</v>
      </c>
      <c r="M60" s="123" t="s">
        <v>596</v>
      </c>
      <c r="N60" s="126"/>
      <c r="O60" s="146">
        <v>431002</v>
      </c>
      <c r="P60" s="125">
        <v>17000000</v>
      </c>
      <c r="Q60" s="125">
        <v>16388734</v>
      </c>
      <c r="R60" s="125">
        <f>SUM(+L60+Q60)</f>
        <v>16388734</v>
      </c>
      <c r="S60" s="123" t="s">
        <v>596</v>
      </c>
      <c r="T60" s="126"/>
      <c r="U60" s="146">
        <v>431002</v>
      </c>
      <c r="V60" s="125">
        <v>17000000</v>
      </c>
      <c r="W60" s="125">
        <v>1475080</v>
      </c>
      <c r="X60" s="125">
        <f>SUM(+R60+W60)</f>
        <v>17863814</v>
      </c>
      <c r="Y60" s="123" t="s">
        <v>596</v>
      </c>
      <c r="Z60" s="126"/>
      <c r="AA60" s="146">
        <v>431002</v>
      </c>
      <c r="AB60" s="125">
        <v>17000000</v>
      </c>
      <c r="AC60" s="125">
        <v>0</v>
      </c>
      <c r="AD60" s="125">
        <f>SUM(+X60+AC60)</f>
        <v>17863814</v>
      </c>
      <c r="AE60" s="123" t="s">
        <v>596</v>
      </c>
      <c r="AF60" s="126"/>
      <c r="AG60" s="146">
        <v>431002</v>
      </c>
      <c r="AH60" s="125">
        <v>17000000</v>
      </c>
      <c r="AI60" s="125">
        <v>0</v>
      </c>
      <c r="AJ60" s="125">
        <f>SUM(+AD60+AI60)</f>
        <v>17863814</v>
      </c>
    </row>
    <row r="61" spans="1:36" s="108" customFormat="1" ht="18.75">
      <c r="A61" s="132" t="s">
        <v>17</v>
      </c>
      <c r="B61" s="388"/>
      <c r="C61" s="139"/>
      <c r="D61" s="423">
        <f>SUM(D60)</f>
        <v>17000000</v>
      </c>
      <c r="E61" s="423">
        <f>SUM(E60)</f>
        <v>0</v>
      </c>
      <c r="F61" s="423">
        <f>SUM(F60)</f>
        <v>0</v>
      </c>
      <c r="G61" s="132" t="s">
        <v>17</v>
      </c>
      <c r="H61" s="442"/>
      <c r="I61" s="139"/>
      <c r="J61" s="423">
        <f>SUM(J60)</f>
        <v>17000000</v>
      </c>
      <c r="K61" s="423">
        <f>SUM(K60)</f>
        <v>0</v>
      </c>
      <c r="L61" s="423">
        <f>SUM(L60)</f>
        <v>0</v>
      </c>
      <c r="M61" s="132" t="s">
        <v>17</v>
      </c>
      <c r="N61" s="484"/>
      <c r="O61" s="139"/>
      <c r="P61" s="423">
        <f>SUM(P60)</f>
        <v>17000000</v>
      </c>
      <c r="Q61" s="423">
        <f>SUM(Q60)</f>
        <v>16388734</v>
      </c>
      <c r="R61" s="423">
        <f>SUM(R60)</f>
        <v>16388734</v>
      </c>
      <c r="S61" s="132" t="s">
        <v>17</v>
      </c>
      <c r="T61" s="494"/>
      <c r="U61" s="139"/>
      <c r="V61" s="423">
        <f>SUM(V60)</f>
        <v>17000000</v>
      </c>
      <c r="W61" s="423">
        <f>SUM(W60)</f>
        <v>1475080</v>
      </c>
      <c r="X61" s="423">
        <f>SUM(X60)</f>
        <v>17863814</v>
      </c>
      <c r="Y61" s="132" t="s">
        <v>17</v>
      </c>
      <c r="Z61" s="523"/>
      <c r="AA61" s="139"/>
      <c r="AB61" s="423">
        <f>SUM(AB60)</f>
        <v>17000000</v>
      </c>
      <c r="AC61" s="423">
        <f>SUM(AC60)</f>
        <v>0</v>
      </c>
      <c r="AD61" s="423">
        <f>SUM(AD60)</f>
        <v>17863814</v>
      </c>
      <c r="AE61" s="132" t="s">
        <v>17</v>
      </c>
      <c r="AF61" s="573"/>
      <c r="AG61" s="139"/>
      <c r="AH61" s="423">
        <f>SUM(AH60)</f>
        <v>17000000</v>
      </c>
      <c r="AI61" s="423">
        <f>SUM(AI60)</f>
        <v>0</v>
      </c>
      <c r="AJ61" s="423">
        <f>SUM(AJ60)</f>
        <v>17863814</v>
      </c>
    </row>
    <row r="62" spans="1:36" s="108" customFormat="1" ht="19.5" thickBot="1">
      <c r="A62" s="424" t="s">
        <v>212</v>
      </c>
      <c r="B62" s="425"/>
      <c r="C62" s="426"/>
      <c r="D62" s="130">
        <f>SUM(D11,D25,D30,D33,D37,D40,D57,D61)</f>
        <v>30719200</v>
      </c>
      <c r="E62" s="130">
        <f>SUM(E11,E25,E30,E33,E37,E40,E57,E61)</f>
        <v>655305.8200000001</v>
      </c>
      <c r="F62" s="130">
        <f>SUM(F11,F25,F30,F33,F37,F40,F57,F61)</f>
        <v>655305.8200000001</v>
      </c>
      <c r="G62" s="424" t="s">
        <v>212</v>
      </c>
      <c r="H62" s="425"/>
      <c r="I62" s="426"/>
      <c r="J62" s="130">
        <f>SUM(J11,J25,J30,J33,J37,J40,J57,J61)</f>
        <v>30719200</v>
      </c>
      <c r="K62" s="130">
        <f>SUM(K11,K25,K30,K33,K37,K40,K57,K61)</f>
        <v>833343.98</v>
      </c>
      <c r="L62" s="130">
        <f>SUM(L11,L25,L30,L33,L37,L40,L57,L61)</f>
        <v>1488649.8</v>
      </c>
      <c r="M62" s="424" t="s">
        <v>212</v>
      </c>
      <c r="N62" s="425"/>
      <c r="O62" s="426"/>
      <c r="P62" s="130">
        <f>SUM(P11,P25,P30,P33,P37,P40,P57,P61)</f>
        <v>30719200</v>
      </c>
      <c r="Q62" s="130">
        <f>SUM(Q11,Q25,Q30,Q33,Q37,Q40,Q57,Q61)</f>
        <v>16652597.66</v>
      </c>
      <c r="R62" s="130">
        <f>SUM(R11,R25,R30,R33,R37,R40,R57,R61)</f>
        <v>18141247.46</v>
      </c>
      <c r="S62" s="424" t="s">
        <v>212</v>
      </c>
      <c r="T62" s="425"/>
      <c r="U62" s="426"/>
      <c r="V62" s="130">
        <f>SUM(V11,V25,V30,V33,V37,V40,V57,V61)</f>
        <v>30719200</v>
      </c>
      <c r="W62" s="130">
        <f>SUM(W11,W25,W30,W33,W37,W40,W57,W61)</f>
        <v>2151231.93</v>
      </c>
      <c r="X62" s="130">
        <f>SUM(X11,X25,X30,X33,X37,X40,X57,X61)</f>
        <v>20292479.39</v>
      </c>
      <c r="Y62" s="541" t="s">
        <v>212</v>
      </c>
      <c r="Z62" s="425"/>
      <c r="AA62" s="426"/>
      <c r="AB62" s="130">
        <f>SUM(AB11,AB25,AB30,AB33,AB37,AB40,AB57,AB61)</f>
        <v>30719200</v>
      </c>
      <c r="AC62" s="130">
        <f>SUM(AC11,AC25,AC30,AC33,AC37,AC40,AC57,AC61)</f>
        <v>4780658.29</v>
      </c>
      <c r="AD62" s="130">
        <f>SUM(AD11,AD25,AD30,AD33,AD37,AD40,AD57,AD61)</f>
        <v>25073137.68</v>
      </c>
      <c r="AE62" s="541" t="s">
        <v>212</v>
      </c>
      <c r="AF62" s="425"/>
      <c r="AG62" s="426"/>
      <c r="AH62" s="130">
        <f>SUM(AH11,AH25,AH30,AH33,AH37,AH40,AH57,AH61)</f>
        <v>30719200</v>
      </c>
      <c r="AI62" s="130">
        <f>SUM(AI11,AI25,AI30,AI33,AI37,AI40,AI57,AI61)</f>
        <v>318684.23</v>
      </c>
      <c r="AJ62" s="130">
        <f>SUM(AJ11,AJ25,AJ30,AJ33,AJ37,AJ40,AJ57,AJ61)</f>
        <v>25391821.91</v>
      </c>
    </row>
    <row r="63" spans="1:36" s="108" customFormat="1" ht="19.5" thickTop="1">
      <c r="A63" s="414" t="s">
        <v>114</v>
      </c>
      <c r="B63" s="415"/>
      <c r="C63" s="139"/>
      <c r="D63" s="413"/>
      <c r="E63" s="413"/>
      <c r="F63" s="413"/>
      <c r="G63" s="414" t="s">
        <v>114</v>
      </c>
      <c r="H63" s="415"/>
      <c r="I63" s="139"/>
      <c r="J63" s="413"/>
      <c r="K63" s="413"/>
      <c r="L63" s="413"/>
      <c r="M63" s="414" t="s">
        <v>114</v>
      </c>
      <c r="N63" s="415"/>
      <c r="O63" s="139"/>
      <c r="P63" s="413"/>
      <c r="Q63" s="413"/>
      <c r="R63" s="413"/>
      <c r="S63" s="414" t="s">
        <v>114</v>
      </c>
      <c r="T63" s="415"/>
      <c r="U63" s="139"/>
      <c r="V63" s="413"/>
      <c r="W63" s="413"/>
      <c r="X63" s="413"/>
      <c r="Y63" s="414" t="s">
        <v>114</v>
      </c>
      <c r="Z63" s="415"/>
      <c r="AA63" s="139"/>
      <c r="AB63" s="413"/>
      <c r="AC63" s="413"/>
      <c r="AD63" s="413"/>
      <c r="AE63" s="414" t="s">
        <v>114</v>
      </c>
      <c r="AF63" s="415"/>
      <c r="AG63" s="139"/>
      <c r="AH63" s="413"/>
      <c r="AI63" s="413"/>
      <c r="AJ63" s="413"/>
    </row>
    <row r="64" spans="1:36" ht="18.75">
      <c r="A64" s="123" t="s">
        <v>206</v>
      </c>
      <c r="B64" s="126"/>
      <c r="C64" s="146"/>
      <c r="D64" s="125"/>
      <c r="E64" s="125">
        <f>SUM(งบดุลบัญชี!H94)</f>
        <v>0</v>
      </c>
      <c r="F64" s="125">
        <f>SUM(E64)</f>
        <v>0</v>
      </c>
      <c r="G64" s="123" t="s">
        <v>206</v>
      </c>
      <c r="H64" s="126"/>
      <c r="I64" s="146"/>
      <c r="J64" s="125"/>
      <c r="K64" s="125"/>
      <c r="L64" s="125">
        <f>SUM(+F64+K64)</f>
        <v>0</v>
      </c>
      <c r="M64" s="123" t="s">
        <v>206</v>
      </c>
      <c r="N64" s="126"/>
      <c r="O64" s="146"/>
      <c r="P64" s="125"/>
      <c r="Q64" s="125">
        <v>0</v>
      </c>
      <c r="R64" s="125">
        <f>SUM(+L64+Q64)</f>
        <v>0</v>
      </c>
      <c r="S64" s="123" t="s">
        <v>206</v>
      </c>
      <c r="T64" s="126"/>
      <c r="U64" s="146"/>
      <c r="V64" s="125"/>
      <c r="W64" s="125">
        <v>0</v>
      </c>
      <c r="X64" s="125">
        <f>SUM(+R64+W64)</f>
        <v>0</v>
      </c>
      <c r="Y64" s="123" t="s">
        <v>206</v>
      </c>
      <c r="Z64" s="126"/>
      <c r="AA64" s="146"/>
      <c r="AB64" s="125"/>
      <c r="AC64" s="125">
        <v>0</v>
      </c>
      <c r="AD64" s="125">
        <f>SUM(+X64+AC64)</f>
        <v>0</v>
      </c>
      <c r="AE64" s="123" t="s">
        <v>206</v>
      </c>
      <c r="AF64" s="126"/>
      <c r="AG64" s="146"/>
      <c r="AH64" s="125"/>
      <c r="AI64" s="125">
        <v>0</v>
      </c>
      <c r="AJ64" s="125">
        <f>SUM(+AD64+AI64)</f>
        <v>0</v>
      </c>
    </row>
    <row r="65" spans="1:36" ht="18.75">
      <c r="A65" s="123" t="s">
        <v>207</v>
      </c>
      <c r="B65" s="126"/>
      <c r="C65" s="146"/>
      <c r="D65" s="125"/>
      <c r="E65" s="125">
        <f>SUM(งบดุลบัญชี!H95)</f>
        <v>0</v>
      </c>
      <c r="F65" s="125">
        <f>SUM(E65)</f>
        <v>0</v>
      </c>
      <c r="G65" s="123" t="s">
        <v>207</v>
      </c>
      <c r="H65" s="126"/>
      <c r="I65" s="146"/>
      <c r="J65" s="125"/>
      <c r="K65" s="125">
        <f>SUM(งบดุลบัญชี!N95)</f>
        <v>0</v>
      </c>
      <c r="L65" s="125">
        <f>SUM(+F65+K65)</f>
        <v>0</v>
      </c>
      <c r="M65" s="123" t="s">
        <v>207</v>
      </c>
      <c r="N65" s="126"/>
      <c r="O65" s="146"/>
      <c r="P65" s="125"/>
      <c r="Q65" s="125">
        <f>SUM(งบดุลบัญชี!T95)</f>
        <v>0</v>
      </c>
      <c r="R65" s="125">
        <f>SUM(+L65+Q65)</f>
        <v>0</v>
      </c>
      <c r="S65" s="123" t="s">
        <v>207</v>
      </c>
      <c r="T65" s="126"/>
      <c r="U65" s="146"/>
      <c r="V65" s="125"/>
      <c r="W65" s="125">
        <f>SUM(งบดุลบัญชี!Z95)</f>
        <v>0</v>
      </c>
      <c r="X65" s="125">
        <f>SUM(+R65+W65)</f>
        <v>0</v>
      </c>
      <c r="Y65" s="123" t="s">
        <v>207</v>
      </c>
      <c r="Z65" s="126"/>
      <c r="AA65" s="146"/>
      <c r="AB65" s="125"/>
      <c r="AC65" s="125">
        <f>SUM(งบดุลบัญชี!AF95)</f>
        <v>0</v>
      </c>
      <c r="AD65" s="125">
        <f>SUM(+X65+AC65)</f>
        <v>0</v>
      </c>
      <c r="AE65" s="123" t="s">
        <v>207</v>
      </c>
      <c r="AF65" s="126"/>
      <c r="AG65" s="146"/>
      <c r="AH65" s="125"/>
      <c r="AI65" s="125">
        <f>SUM(งบดุลบัญชี!AL95)</f>
        <v>0</v>
      </c>
      <c r="AJ65" s="125">
        <f>SUM(+AD65+AI65)</f>
        <v>0</v>
      </c>
    </row>
    <row r="66" spans="1:36" ht="18.75">
      <c r="A66" s="123"/>
      <c r="B66" s="126"/>
      <c r="C66" s="146"/>
      <c r="D66" s="125"/>
      <c r="E66" s="125"/>
      <c r="F66" s="125"/>
      <c r="G66" s="123"/>
      <c r="H66" s="126"/>
      <c r="I66" s="146"/>
      <c r="J66" s="125"/>
      <c r="K66" s="125"/>
      <c r="L66" s="125">
        <f>SUM(+F66+K66)</f>
        <v>0</v>
      </c>
      <c r="M66" s="123"/>
      <c r="N66" s="126"/>
      <c r="O66" s="146"/>
      <c r="P66" s="125"/>
      <c r="Q66" s="125"/>
      <c r="R66" s="125">
        <f>SUM(+L66+Q66)</f>
        <v>0</v>
      </c>
      <c r="S66" s="123"/>
      <c r="T66" s="126"/>
      <c r="U66" s="146"/>
      <c r="V66" s="125"/>
      <c r="W66" s="125"/>
      <c r="X66" s="125">
        <f>SUM(+R66+W66)</f>
        <v>0</v>
      </c>
      <c r="Y66" s="123"/>
      <c r="Z66" s="126"/>
      <c r="AA66" s="146"/>
      <c r="AB66" s="125"/>
      <c r="AC66" s="125"/>
      <c r="AD66" s="125">
        <f>SUM(+X66+AC66)</f>
        <v>0</v>
      </c>
      <c r="AE66" s="123"/>
      <c r="AF66" s="126"/>
      <c r="AG66" s="146"/>
      <c r="AH66" s="125"/>
      <c r="AI66" s="125"/>
      <c r="AJ66" s="125">
        <f>SUM(+AD66+AI66)</f>
        <v>0</v>
      </c>
    </row>
    <row r="67" spans="1:36" s="108" customFormat="1" ht="18.75">
      <c r="A67" s="132" t="s">
        <v>17</v>
      </c>
      <c r="B67" s="388"/>
      <c r="C67" s="139"/>
      <c r="D67" s="29">
        <f>SUM(D64:D65)</f>
        <v>0</v>
      </c>
      <c r="E67" s="29">
        <f>SUM(E64:E65)</f>
        <v>0</v>
      </c>
      <c r="F67" s="29">
        <f>SUM(F64:F65)</f>
        <v>0</v>
      </c>
      <c r="G67" s="132" t="s">
        <v>17</v>
      </c>
      <c r="H67" s="442"/>
      <c r="I67" s="139"/>
      <c r="J67" s="29">
        <f>SUM(J64:J65)</f>
        <v>0</v>
      </c>
      <c r="K67" s="29">
        <f>SUM(K64:K65)</f>
        <v>0</v>
      </c>
      <c r="L67" s="29">
        <f>SUM(L64:L65)</f>
        <v>0</v>
      </c>
      <c r="M67" s="132" t="s">
        <v>17</v>
      </c>
      <c r="N67" s="484"/>
      <c r="O67" s="139"/>
      <c r="P67" s="29">
        <f>SUM(P64:P65)</f>
        <v>0</v>
      </c>
      <c r="Q67" s="29">
        <f>SUM(Q64:Q65)</f>
        <v>0</v>
      </c>
      <c r="R67" s="29">
        <f>SUM(R64:R65)</f>
        <v>0</v>
      </c>
      <c r="S67" s="132" t="s">
        <v>17</v>
      </c>
      <c r="T67" s="494"/>
      <c r="U67" s="139"/>
      <c r="V67" s="29">
        <f>SUM(V64:V65)</f>
        <v>0</v>
      </c>
      <c r="W67" s="29">
        <f>SUM(W64:W65)</f>
        <v>0</v>
      </c>
      <c r="X67" s="29">
        <f>SUM(X64:X65)</f>
        <v>0</v>
      </c>
      <c r="Y67" s="132" t="s">
        <v>17</v>
      </c>
      <c r="Z67" s="523"/>
      <c r="AA67" s="139"/>
      <c r="AB67" s="29">
        <f>SUM(AB64:AB65)</f>
        <v>0</v>
      </c>
      <c r="AC67" s="29">
        <f>SUM(AC64:AC65)</f>
        <v>0</v>
      </c>
      <c r="AD67" s="29">
        <f>SUM(AD64:AD65)</f>
        <v>0</v>
      </c>
      <c r="AE67" s="132" t="s">
        <v>17</v>
      </c>
      <c r="AF67" s="573"/>
      <c r="AG67" s="139"/>
      <c r="AH67" s="29">
        <f>SUM(AH64:AH65)</f>
        <v>0</v>
      </c>
      <c r="AI67" s="29">
        <f>SUM(AI64:AI65)</f>
        <v>0</v>
      </c>
      <c r="AJ67" s="29">
        <f>SUM(AJ64:AJ65)</f>
        <v>0</v>
      </c>
    </row>
    <row r="68" spans="1:36" s="108" customFormat="1" ht="18.75">
      <c r="A68" s="414" t="s">
        <v>115</v>
      </c>
      <c r="B68" s="415"/>
      <c r="C68" s="139"/>
      <c r="D68" s="413"/>
      <c r="E68" s="413"/>
      <c r="F68" s="413"/>
      <c r="G68" s="414" t="s">
        <v>115</v>
      </c>
      <c r="H68" s="415"/>
      <c r="I68" s="139"/>
      <c r="J68" s="413"/>
      <c r="K68" s="413"/>
      <c r="L68" s="413"/>
      <c r="M68" s="414" t="s">
        <v>115</v>
      </c>
      <c r="N68" s="415"/>
      <c r="O68" s="139"/>
      <c r="P68" s="413"/>
      <c r="Q68" s="413"/>
      <c r="R68" s="413"/>
      <c r="S68" s="414" t="s">
        <v>115</v>
      </c>
      <c r="T68" s="415"/>
      <c r="U68" s="139"/>
      <c r="V68" s="413"/>
      <c r="W68" s="413"/>
      <c r="X68" s="413"/>
      <c r="Y68" s="414" t="s">
        <v>115</v>
      </c>
      <c r="Z68" s="415"/>
      <c r="AA68" s="139"/>
      <c r="AB68" s="413"/>
      <c r="AC68" s="413"/>
      <c r="AD68" s="413"/>
      <c r="AE68" s="414" t="s">
        <v>115</v>
      </c>
      <c r="AF68" s="415"/>
      <c r="AG68" s="139"/>
      <c r="AH68" s="413"/>
      <c r="AI68" s="413"/>
      <c r="AJ68" s="413"/>
    </row>
    <row r="69" spans="1:36" ht="18.75">
      <c r="A69" s="123" t="s">
        <v>208</v>
      </c>
      <c r="B69" s="126"/>
      <c r="C69" s="146"/>
      <c r="D69" s="125"/>
      <c r="E69" s="125">
        <f>SUM(งบดุลบัญชี!H97)</f>
        <v>0</v>
      </c>
      <c r="F69" s="125">
        <f aca="true" t="shared" si="12" ref="F69:F79">SUM(E69)</f>
        <v>0</v>
      </c>
      <c r="G69" s="123" t="s">
        <v>208</v>
      </c>
      <c r="H69" s="126"/>
      <c r="I69" s="146"/>
      <c r="J69" s="125"/>
      <c r="K69" s="125">
        <f>SUM(งบดุลบัญชี!N97)</f>
        <v>4781400</v>
      </c>
      <c r="L69" s="125">
        <f>SUM(+F69+K69)</f>
        <v>4781400</v>
      </c>
      <c r="M69" s="123" t="s">
        <v>208</v>
      </c>
      <c r="N69" s="126"/>
      <c r="O69" s="146"/>
      <c r="P69" s="125"/>
      <c r="Q69" s="125">
        <f>SUM(งบดุลบัญชี!T97)</f>
        <v>0</v>
      </c>
      <c r="R69" s="125">
        <f aca="true" t="shared" si="13" ref="R69:R74">SUM(+L69+Q69)</f>
        <v>4781400</v>
      </c>
      <c r="S69" s="123" t="s">
        <v>208</v>
      </c>
      <c r="T69" s="126"/>
      <c r="U69" s="146"/>
      <c r="V69" s="125"/>
      <c r="W69" s="125">
        <f>SUM(งบดุลบัญชี!Z97)</f>
        <v>0</v>
      </c>
      <c r="X69" s="125">
        <f aca="true" t="shared" si="14" ref="X69:X74">SUM(+R69+W69)</f>
        <v>4781400</v>
      </c>
      <c r="Y69" s="123" t="s">
        <v>208</v>
      </c>
      <c r="Z69" s="126"/>
      <c r="AA69" s="146"/>
      <c r="AB69" s="125"/>
      <c r="AC69" s="125">
        <v>4754400</v>
      </c>
      <c r="AD69" s="125">
        <f aca="true" t="shared" si="15" ref="AD69:AD74">SUM(+X69+AC69)</f>
        <v>9535800</v>
      </c>
      <c r="AE69" s="123" t="s">
        <v>735</v>
      </c>
      <c r="AF69" s="126"/>
      <c r="AG69" s="146"/>
      <c r="AH69" s="125"/>
      <c r="AI69" s="594">
        <v>-93000</v>
      </c>
      <c r="AJ69" s="125">
        <f aca="true" t="shared" si="16" ref="AJ69:AJ74">SUM(+AD69+AI69)</f>
        <v>9442800</v>
      </c>
    </row>
    <row r="70" spans="1:36" ht="18.75">
      <c r="A70" s="123" t="s">
        <v>209</v>
      </c>
      <c r="B70" s="126"/>
      <c r="C70" s="146"/>
      <c r="D70" s="125"/>
      <c r="E70" s="125">
        <f>SUM(งบดุลบัญชี!H98)</f>
        <v>0</v>
      </c>
      <c r="F70" s="125">
        <f t="shared" si="12"/>
        <v>0</v>
      </c>
      <c r="G70" s="123" t="s">
        <v>209</v>
      </c>
      <c r="H70" s="126"/>
      <c r="I70" s="146"/>
      <c r="J70" s="125"/>
      <c r="K70" s="125">
        <f>SUM(งบดุลบัญชี!N98)</f>
        <v>0</v>
      </c>
      <c r="L70" s="125">
        <f>SUM(+F70+K70)</f>
        <v>0</v>
      </c>
      <c r="M70" s="123" t="s">
        <v>209</v>
      </c>
      <c r="N70" s="126"/>
      <c r="O70" s="146"/>
      <c r="P70" s="125"/>
      <c r="Q70" s="125">
        <v>522000</v>
      </c>
      <c r="R70" s="125">
        <f t="shared" si="13"/>
        <v>522000</v>
      </c>
      <c r="S70" s="123" t="s">
        <v>209</v>
      </c>
      <c r="T70" s="126"/>
      <c r="U70" s="146"/>
      <c r="V70" s="125"/>
      <c r="W70" s="125">
        <v>0</v>
      </c>
      <c r="X70" s="125">
        <f t="shared" si="14"/>
        <v>522000</v>
      </c>
      <c r="Y70" s="123" t="s">
        <v>209</v>
      </c>
      <c r="Z70" s="126"/>
      <c r="AA70" s="146"/>
      <c r="AB70" s="125"/>
      <c r="AC70" s="125">
        <v>522000</v>
      </c>
      <c r="AD70" s="125">
        <f t="shared" si="15"/>
        <v>1044000</v>
      </c>
      <c r="AE70" s="123" t="s">
        <v>736</v>
      </c>
      <c r="AF70" s="126"/>
      <c r="AG70" s="146"/>
      <c r="AH70" s="125"/>
      <c r="AI70" s="594">
        <v>-8000</v>
      </c>
      <c r="AJ70" s="125">
        <f t="shared" si="16"/>
        <v>1036000</v>
      </c>
    </row>
    <row r="71" spans="1:36" ht="18.75">
      <c r="A71" s="123" t="s">
        <v>588</v>
      </c>
      <c r="B71" s="126"/>
      <c r="C71" s="146"/>
      <c r="D71" s="125"/>
      <c r="E71" s="125"/>
      <c r="F71" s="125">
        <f t="shared" si="12"/>
        <v>0</v>
      </c>
      <c r="G71" s="123" t="s">
        <v>588</v>
      </c>
      <c r="H71" s="126"/>
      <c r="I71" s="146"/>
      <c r="J71" s="125"/>
      <c r="K71" s="125">
        <v>0</v>
      </c>
      <c r="L71" s="125">
        <f>SUM(+F71+K71)</f>
        <v>0</v>
      </c>
      <c r="M71" s="123" t="s">
        <v>588</v>
      </c>
      <c r="N71" s="126"/>
      <c r="O71" s="146"/>
      <c r="P71" s="125"/>
      <c r="Q71" s="125">
        <v>0</v>
      </c>
      <c r="R71" s="125">
        <f t="shared" si="13"/>
        <v>0</v>
      </c>
      <c r="S71" s="123" t="s">
        <v>588</v>
      </c>
      <c r="T71" s="126"/>
      <c r="U71" s="146"/>
      <c r="V71" s="125"/>
      <c r="W71" s="125">
        <v>6120</v>
      </c>
      <c r="X71" s="125">
        <f t="shared" si="14"/>
        <v>6120</v>
      </c>
      <c r="Y71" s="123" t="s">
        <v>588</v>
      </c>
      <c r="Z71" s="126"/>
      <c r="AA71" s="146"/>
      <c r="AB71" s="125"/>
      <c r="AC71" s="125">
        <v>1800</v>
      </c>
      <c r="AD71" s="125">
        <f t="shared" si="15"/>
        <v>7920</v>
      </c>
      <c r="AE71" s="123" t="s">
        <v>588</v>
      </c>
      <c r="AF71" s="126"/>
      <c r="AG71" s="146"/>
      <c r="AH71" s="125"/>
      <c r="AI71" s="125">
        <v>1800</v>
      </c>
      <c r="AJ71" s="125">
        <f t="shared" si="16"/>
        <v>9720</v>
      </c>
    </row>
    <row r="72" spans="1:36" ht="18.75">
      <c r="A72" s="123" t="s">
        <v>600</v>
      </c>
      <c r="B72" s="126"/>
      <c r="C72" s="146"/>
      <c r="D72" s="125"/>
      <c r="E72" s="125">
        <f>SUM(งบดุลบัญชี!H99)</f>
        <v>0</v>
      </c>
      <c r="F72" s="125">
        <f t="shared" si="12"/>
        <v>0</v>
      </c>
      <c r="G72" s="123" t="s">
        <v>600</v>
      </c>
      <c r="H72" s="126"/>
      <c r="I72" s="146"/>
      <c r="J72" s="125"/>
      <c r="K72" s="125">
        <f>SUM(งบดุลบัญชี!N99)</f>
        <v>0</v>
      </c>
      <c r="L72" s="125">
        <f>SUM(+F72+K72)</f>
        <v>0</v>
      </c>
      <c r="M72" s="123" t="s">
        <v>600</v>
      </c>
      <c r="N72" s="126"/>
      <c r="O72" s="146"/>
      <c r="P72" s="125"/>
      <c r="Q72" s="125">
        <v>0</v>
      </c>
      <c r="R72" s="125">
        <f t="shared" si="13"/>
        <v>0</v>
      </c>
      <c r="S72" s="123" t="s">
        <v>600</v>
      </c>
      <c r="T72" s="126"/>
      <c r="U72" s="146"/>
      <c r="V72" s="125"/>
      <c r="W72" s="125">
        <v>144000</v>
      </c>
      <c r="X72" s="125">
        <f t="shared" si="14"/>
        <v>144000</v>
      </c>
      <c r="Y72" s="123" t="s">
        <v>600</v>
      </c>
      <c r="Z72" s="126"/>
      <c r="AA72" s="146"/>
      <c r="AB72" s="125"/>
      <c r="AC72" s="125">
        <v>36000</v>
      </c>
      <c r="AD72" s="125">
        <f t="shared" si="15"/>
        <v>180000</v>
      </c>
      <c r="AE72" s="123" t="s">
        <v>600</v>
      </c>
      <c r="AF72" s="126"/>
      <c r="AG72" s="146"/>
      <c r="AH72" s="125"/>
      <c r="AI72" s="125">
        <v>36000</v>
      </c>
      <c r="AJ72" s="125">
        <f t="shared" si="16"/>
        <v>216000</v>
      </c>
    </row>
    <row r="73" spans="1:36" ht="18.75">
      <c r="A73" s="123" t="s">
        <v>210</v>
      </c>
      <c r="B73" s="126"/>
      <c r="C73" s="146"/>
      <c r="D73" s="125"/>
      <c r="E73" s="125">
        <f>SUM(งบดุลบัญชี!H101)</f>
        <v>0</v>
      </c>
      <c r="F73" s="125">
        <f t="shared" si="12"/>
        <v>0</v>
      </c>
      <c r="G73" s="123" t="s">
        <v>210</v>
      </c>
      <c r="H73" s="126"/>
      <c r="I73" s="146"/>
      <c r="J73" s="125"/>
      <c r="K73" s="125">
        <f>SUM(งบดุลบัญชี!N101)</f>
        <v>0</v>
      </c>
      <c r="L73" s="125">
        <f>SUM(+F73+K73)</f>
        <v>0</v>
      </c>
      <c r="M73" s="123" t="s">
        <v>210</v>
      </c>
      <c r="N73" s="126"/>
      <c r="O73" s="146"/>
      <c r="P73" s="125"/>
      <c r="Q73" s="125">
        <f>SUM(งบดุลบัญชี!T101)</f>
        <v>0</v>
      </c>
      <c r="R73" s="125">
        <f t="shared" si="13"/>
        <v>0</v>
      </c>
      <c r="S73" s="123" t="s">
        <v>210</v>
      </c>
      <c r="T73" s="126"/>
      <c r="U73" s="146"/>
      <c r="V73" s="125"/>
      <c r="W73" s="125">
        <v>0</v>
      </c>
      <c r="X73" s="125">
        <f t="shared" si="14"/>
        <v>0</v>
      </c>
      <c r="Y73" s="123" t="s">
        <v>210</v>
      </c>
      <c r="Z73" s="126"/>
      <c r="AA73" s="146"/>
      <c r="AB73" s="125"/>
      <c r="AC73" s="125">
        <v>0</v>
      </c>
      <c r="AD73" s="125">
        <f t="shared" si="15"/>
        <v>0</v>
      </c>
      <c r="AE73" s="123" t="s">
        <v>210</v>
      </c>
      <c r="AF73" s="126"/>
      <c r="AG73" s="146"/>
      <c r="AH73" s="125"/>
      <c r="AI73" s="125">
        <v>0</v>
      </c>
      <c r="AJ73" s="125">
        <f t="shared" si="16"/>
        <v>0</v>
      </c>
    </row>
    <row r="74" spans="1:36" ht="18.75">
      <c r="A74" s="123"/>
      <c r="B74" s="126"/>
      <c r="C74" s="146"/>
      <c r="D74" s="125"/>
      <c r="E74" s="125"/>
      <c r="F74" s="125"/>
      <c r="G74" s="123"/>
      <c r="H74" s="126"/>
      <c r="I74" s="146"/>
      <c r="J74" s="125"/>
      <c r="K74" s="125"/>
      <c r="L74" s="125"/>
      <c r="M74" s="123" t="s">
        <v>664</v>
      </c>
      <c r="N74" s="126"/>
      <c r="O74" s="146"/>
      <c r="P74" s="125"/>
      <c r="Q74" s="125">
        <v>0</v>
      </c>
      <c r="R74" s="125">
        <f t="shared" si="13"/>
        <v>0</v>
      </c>
      <c r="S74" s="123" t="s">
        <v>664</v>
      </c>
      <c r="T74" s="126"/>
      <c r="U74" s="146"/>
      <c r="V74" s="125"/>
      <c r="W74" s="125">
        <v>240000</v>
      </c>
      <c r="X74" s="125">
        <f t="shared" si="14"/>
        <v>240000</v>
      </c>
      <c r="Y74" s="123" t="s">
        <v>664</v>
      </c>
      <c r="Z74" s="126"/>
      <c r="AA74" s="146"/>
      <c r="AB74" s="125"/>
      <c r="AC74" s="125">
        <v>60000</v>
      </c>
      <c r="AD74" s="125">
        <f t="shared" si="15"/>
        <v>300000</v>
      </c>
      <c r="AE74" s="123" t="s">
        <v>664</v>
      </c>
      <c r="AF74" s="126"/>
      <c r="AG74" s="146"/>
      <c r="AH74" s="125"/>
      <c r="AI74" s="125">
        <v>150000</v>
      </c>
      <c r="AJ74" s="125">
        <f t="shared" si="16"/>
        <v>450000</v>
      </c>
    </row>
    <row r="75" spans="1:36" ht="18.75">
      <c r="A75" s="123"/>
      <c r="B75" s="126"/>
      <c r="C75" s="146"/>
      <c r="D75" s="125"/>
      <c r="E75" s="125"/>
      <c r="F75" s="125"/>
      <c r="G75" s="123"/>
      <c r="H75" s="126"/>
      <c r="I75" s="146"/>
      <c r="J75" s="125"/>
      <c r="K75" s="125"/>
      <c r="L75" s="125"/>
      <c r="M75" s="123"/>
      <c r="N75" s="126"/>
      <c r="O75" s="146"/>
      <c r="P75" s="125"/>
      <c r="Q75" s="125"/>
      <c r="R75" s="125"/>
      <c r="S75" s="123"/>
      <c r="T75" s="126"/>
      <c r="U75" s="146"/>
      <c r="V75" s="125"/>
      <c r="W75" s="125"/>
      <c r="X75" s="125"/>
      <c r="Y75" s="123"/>
      <c r="Z75" s="126"/>
      <c r="AA75" s="146"/>
      <c r="AB75" s="125"/>
      <c r="AC75" s="125"/>
      <c r="AD75" s="125"/>
      <c r="AE75" s="123"/>
      <c r="AF75" s="126"/>
      <c r="AG75" s="146"/>
      <c r="AH75" s="125"/>
      <c r="AI75" s="125"/>
      <c r="AJ75" s="125"/>
    </row>
    <row r="76" spans="1:36" ht="18.75">
      <c r="A76" s="123"/>
      <c r="B76" s="126"/>
      <c r="C76" s="146"/>
      <c r="D76" s="125"/>
      <c r="E76" s="125"/>
      <c r="F76" s="125"/>
      <c r="G76" s="123"/>
      <c r="H76" s="126"/>
      <c r="I76" s="146"/>
      <c r="J76" s="125"/>
      <c r="K76" s="125"/>
      <c r="L76" s="125"/>
      <c r="M76" s="123"/>
      <c r="N76" s="126"/>
      <c r="O76" s="146"/>
      <c r="P76" s="125"/>
      <c r="Q76" s="125"/>
      <c r="R76" s="125"/>
      <c r="S76" s="123"/>
      <c r="T76" s="126"/>
      <c r="U76" s="146"/>
      <c r="V76" s="125"/>
      <c r="W76" s="125"/>
      <c r="X76" s="125"/>
      <c r="Y76" s="123"/>
      <c r="Z76" s="126"/>
      <c r="AA76" s="146"/>
      <c r="AB76" s="125"/>
      <c r="AC76" s="125"/>
      <c r="AD76" s="125"/>
      <c r="AE76" s="123"/>
      <c r="AF76" s="126"/>
      <c r="AG76" s="146"/>
      <c r="AH76" s="125"/>
      <c r="AI76" s="125"/>
      <c r="AJ76" s="125"/>
    </row>
    <row r="77" spans="1:36" ht="18.75">
      <c r="A77" s="123"/>
      <c r="B77" s="126"/>
      <c r="C77" s="146"/>
      <c r="D77" s="125"/>
      <c r="E77" s="125"/>
      <c r="F77" s="125"/>
      <c r="G77" s="123"/>
      <c r="H77" s="126"/>
      <c r="I77" s="146"/>
      <c r="J77" s="125"/>
      <c r="K77" s="125"/>
      <c r="L77" s="125"/>
      <c r="M77" s="123"/>
      <c r="N77" s="126"/>
      <c r="O77" s="146"/>
      <c r="P77" s="125"/>
      <c r="Q77" s="125"/>
      <c r="R77" s="125"/>
      <c r="S77" s="123"/>
      <c r="T77" s="126"/>
      <c r="U77" s="146"/>
      <c r="V77" s="125"/>
      <c r="W77" s="125"/>
      <c r="X77" s="125"/>
      <c r="Y77" s="123"/>
      <c r="Z77" s="126"/>
      <c r="AA77" s="146"/>
      <c r="AB77" s="125"/>
      <c r="AC77" s="125"/>
      <c r="AD77" s="125"/>
      <c r="AE77" s="123"/>
      <c r="AF77" s="126"/>
      <c r="AG77" s="146"/>
      <c r="AH77" s="125"/>
      <c r="AI77" s="125"/>
      <c r="AJ77" s="125"/>
    </row>
    <row r="78" spans="1:36" ht="18.75">
      <c r="A78" s="123"/>
      <c r="B78" s="126"/>
      <c r="C78" s="146"/>
      <c r="D78" s="125"/>
      <c r="E78" s="125"/>
      <c r="F78" s="125"/>
      <c r="G78" s="123"/>
      <c r="H78" s="126"/>
      <c r="I78" s="146"/>
      <c r="J78" s="125"/>
      <c r="K78" s="125"/>
      <c r="L78" s="125"/>
      <c r="M78" s="123"/>
      <c r="N78" s="126"/>
      <c r="O78" s="146"/>
      <c r="P78" s="125"/>
      <c r="Q78" s="125"/>
      <c r="R78" s="125"/>
      <c r="S78" s="123"/>
      <c r="T78" s="126"/>
      <c r="U78" s="146"/>
      <c r="V78" s="125"/>
      <c r="W78" s="125"/>
      <c r="X78" s="125"/>
      <c r="Y78" s="123"/>
      <c r="Z78" s="126"/>
      <c r="AA78" s="146"/>
      <c r="AB78" s="125"/>
      <c r="AC78" s="125"/>
      <c r="AD78" s="125"/>
      <c r="AE78" s="123"/>
      <c r="AF78" s="126"/>
      <c r="AG78" s="146"/>
      <c r="AH78" s="125"/>
      <c r="AI78" s="125"/>
      <c r="AJ78" s="125"/>
    </row>
    <row r="79" spans="1:36" ht="18.75">
      <c r="A79" s="123"/>
      <c r="B79" s="126"/>
      <c r="C79" s="146"/>
      <c r="D79" s="125"/>
      <c r="E79" s="125"/>
      <c r="F79" s="125">
        <f t="shared" si="12"/>
        <v>0</v>
      </c>
      <c r="G79" s="123"/>
      <c r="H79" s="126"/>
      <c r="I79" s="146"/>
      <c r="J79" s="125"/>
      <c r="K79" s="125"/>
      <c r="L79" s="125">
        <f>SUM(K79)</f>
        <v>0</v>
      </c>
      <c r="M79" s="123"/>
      <c r="N79" s="126"/>
      <c r="O79" s="146"/>
      <c r="P79" s="125"/>
      <c r="Q79" s="125"/>
      <c r="R79" s="125">
        <f>SUM(Q79)</f>
        <v>0</v>
      </c>
      <c r="S79" s="123"/>
      <c r="T79" s="126"/>
      <c r="U79" s="146"/>
      <c r="V79" s="125"/>
      <c r="W79" s="125"/>
      <c r="X79" s="125">
        <f>SUM(W79)</f>
        <v>0</v>
      </c>
      <c r="Y79" s="123"/>
      <c r="Z79" s="126"/>
      <c r="AA79" s="146"/>
      <c r="AB79" s="125"/>
      <c r="AC79" s="125"/>
      <c r="AD79" s="125">
        <f>SUM(AC79)</f>
        <v>0</v>
      </c>
      <c r="AE79" s="123"/>
      <c r="AF79" s="126"/>
      <c r="AG79" s="146"/>
      <c r="AH79" s="125"/>
      <c r="AI79" s="125"/>
      <c r="AJ79" s="125">
        <f>SUM(AI79)</f>
        <v>0</v>
      </c>
    </row>
    <row r="80" spans="1:36" s="108" customFormat="1" ht="18.75">
      <c r="A80" s="689" t="s">
        <v>17</v>
      </c>
      <c r="B80" s="699"/>
      <c r="C80" s="427"/>
      <c r="D80" s="423">
        <f>SUM(D69:D73)</f>
        <v>0</v>
      </c>
      <c r="E80" s="423">
        <f>SUM(E69:E73)</f>
        <v>0</v>
      </c>
      <c r="F80" s="423">
        <f>SUM(F69:F73)</f>
        <v>0</v>
      </c>
      <c r="G80" s="689" t="s">
        <v>17</v>
      </c>
      <c r="H80" s="699"/>
      <c r="I80" s="427"/>
      <c r="J80" s="423">
        <f>SUM(J69:J73)</f>
        <v>0</v>
      </c>
      <c r="K80" s="423">
        <f>SUM(K69:K73)</f>
        <v>4781400</v>
      </c>
      <c r="L80" s="423">
        <f>SUM(L69:L73)</f>
        <v>4781400</v>
      </c>
      <c r="M80" s="689" t="s">
        <v>17</v>
      </c>
      <c r="N80" s="699"/>
      <c r="O80" s="427"/>
      <c r="P80" s="423">
        <f>SUM(P69:P73)</f>
        <v>0</v>
      </c>
      <c r="Q80" s="423">
        <f>SUM(Q69:Q74)</f>
        <v>522000</v>
      </c>
      <c r="R80" s="423">
        <f>SUM(R69:R74)</f>
        <v>5303400</v>
      </c>
      <c r="S80" s="689" t="s">
        <v>17</v>
      </c>
      <c r="T80" s="699"/>
      <c r="U80" s="427"/>
      <c r="V80" s="423">
        <f>SUM(V69:V73)</f>
        <v>0</v>
      </c>
      <c r="W80" s="423">
        <f>SUM(W69:W74)</f>
        <v>390120</v>
      </c>
      <c r="X80" s="423">
        <f>SUM(X69:X74)</f>
        <v>5693520</v>
      </c>
      <c r="Y80" s="689" t="s">
        <v>17</v>
      </c>
      <c r="Z80" s="699"/>
      <c r="AA80" s="427"/>
      <c r="AB80" s="423">
        <f>SUM(AB69:AB73)</f>
        <v>0</v>
      </c>
      <c r="AC80" s="423">
        <f>SUM(AC69:AC74)</f>
        <v>5374200</v>
      </c>
      <c r="AD80" s="423">
        <f>SUM(AD69:AD74)</f>
        <v>11067720</v>
      </c>
      <c r="AE80" s="689" t="s">
        <v>17</v>
      </c>
      <c r="AF80" s="699"/>
      <c r="AG80" s="427"/>
      <c r="AH80" s="423">
        <f>SUM(AH69:AH73)</f>
        <v>0</v>
      </c>
      <c r="AI80" s="423">
        <f>SUM(AI69:AI74)</f>
        <v>86800</v>
      </c>
      <c r="AJ80" s="423">
        <f>SUM(AJ69:AJ74)</f>
        <v>11154520</v>
      </c>
    </row>
    <row r="81" spans="1:36" s="108" customFormat="1" ht="19.5" thickBot="1">
      <c r="A81" s="745" t="s">
        <v>213</v>
      </c>
      <c r="B81" s="746"/>
      <c r="C81" s="428"/>
      <c r="D81" s="429">
        <f>SUM(D6,D46,D58)</f>
        <v>0</v>
      </c>
      <c r="E81" s="429">
        <f>SUM(E62,E67,E80)</f>
        <v>655305.8200000001</v>
      </c>
      <c r="F81" s="429">
        <f>SUM(F62,F67,F80)</f>
        <v>655305.8200000001</v>
      </c>
      <c r="G81" s="745" t="s">
        <v>213</v>
      </c>
      <c r="H81" s="746"/>
      <c r="I81" s="428"/>
      <c r="J81" s="429">
        <f>SUM(J6,J46,J58)</f>
        <v>0</v>
      </c>
      <c r="K81" s="429">
        <f>SUM(K62,K67,K80)</f>
        <v>5614743.98</v>
      </c>
      <c r="L81" s="429">
        <f>SUM(L62,L67,L80)</f>
        <v>6270049.8</v>
      </c>
      <c r="M81" s="745" t="s">
        <v>213</v>
      </c>
      <c r="N81" s="746"/>
      <c r="O81" s="428"/>
      <c r="P81" s="429">
        <f>SUM(P6,P46,P58)</f>
        <v>0</v>
      </c>
      <c r="Q81" s="429">
        <f>SUM(Q62,Q67,Q80)</f>
        <v>17174597.66</v>
      </c>
      <c r="R81" s="429">
        <f>SUM(R62,R67,R80)</f>
        <v>23444647.46</v>
      </c>
      <c r="S81" s="745" t="s">
        <v>213</v>
      </c>
      <c r="T81" s="746"/>
      <c r="U81" s="428"/>
      <c r="V81" s="429">
        <f>SUM(V6,V46,V58)</f>
        <v>0</v>
      </c>
      <c r="W81" s="429">
        <f>SUM(W62,W67,W80)</f>
        <v>2541351.93</v>
      </c>
      <c r="X81" s="429">
        <f>SUM(X62,X67,X80)</f>
        <v>25985999.39</v>
      </c>
      <c r="Y81" s="745" t="s">
        <v>213</v>
      </c>
      <c r="Z81" s="746"/>
      <c r="AA81" s="428"/>
      <c r="AB81" s="429">
        <f>SUM(AB6,AB46,AB58)</f>
        <v>0</v>
      </c>
      <c r="AC81" s="429">
        <f>SUM(AC62,AC67,AC80)</f>
        <v>10154858.29</v>
      </c>
      <c r="AD81" s="429">
        <f>SUM(AD62,AD67,AD80)</f>
        <v>36140857.68</v>
      </c>
      <c r="AE81" s="745" t="s">
        <v>213</v>
      </c>
      <c r="AF81" s="746"/>
      <c r="AG81" s="428"/>
      <c r="AH81" s="429">
        <f>SUM(AH6,AH46,AH58)</f>
        <v>0</v>
      </c>
      <c r="AI81" s="429">
        <f>SUM(AI62,AI67,AI80)</f>
        <v>405484.23</v>
      </c>
      <c r="AJ81" s="429">
        <f>SUM(AJ62,AJ67,AJ80)</f>
        <v>36546341.91</v>
      </c>
    </row>
    <row r="82" spans="4:12" ht="19.5" thickTop="1">
      <c r="D82" s="374"/>
      <c r="E82" s="374"/>
      <c r="F82" s="374"/>
      <c r="J82" s="374"/>
      <c r="K82" s="374"/>
      <c r="L82" s="374"/>
    </row>
    <row r="83" spans="4:12" ht="18.75">
      <c r="D83" s="374"/>
      <c r="E83" s="374"/>
      <c r="F83" s="374"/>
      <c r="J83" s="374"/>
      <c r="K83" s="374"/>
      <c r="L83" s="374"/>
    </row>
    <row r="84" spans="4:12" ht="18.75">
      <c r="D84" s="374"/>
      <c r="E84" s="374"/>
      <c r="F84" s="374"/>
      <c r="J84" s="374"/>
      <c r="K84" s="374"/>
      <c r="L84" s="374"/>
    </row>
    <row r="85" ht="18.75">
      <c r="L85" s="417">
        <f>+งบดุลบัญชี!R107</f>
        <v>6270049.8</v>
      </c>
    </row>
    <row r="86" spans="11:29" ht="18.75">
      <c r="K86" s="417">
        <f>5614743.98-K81</f>
        <v>0</v>
      </c>
      <c r="X86" s="417">
        <f>25985999.39-X81</f>
        <v>0</v>
      </c>
      <c r="AC86" s="417">
        <f>10154858.29-AC81</f>
        <v>0</v>
      </c>
    </row>
    <row r="87" spans="3:10" ht="18.75">
      <c r="C87" s="747">
        <v>30719200</v>
      </c>
      <c r="D87" s="747"/>
      <c r="I87" s="747">
        <v>30719200</v>
      </c>
      <c r="J87" s="747"/>
    </row>
    <row r="89" spans="3:9" ht="18.75">
      <c r="C89" s="387">
        <f>+C87-D62</f>
        <v>0</v>
      </c>
      <c r="I89" s="387">
        <f>+I87-J62</f>
        <v>0</v>
      </c>
    </row>
  </sheetData>
  <sheetProtection/>
  <mergeCells count="39">
    <mergeCell ref="Y81:Z81"/>
    <mergeCell ref="Y2:AD2"/>
    <mergeCell ref="Y3:AD3"/>
    <mergeCell ref="Y4:AD4"/>
    <mergeCell ref="Y5:Z5"/>
    <mergeCell ref="Y80:Z80"/>
    <mergeCell ref="S81:T81"/>
    <mergeCell ref="S2:X2"/>
    <mergeCell ref="S3:X3"/>
    <mergeCell ref="S4:X4"/>
    <mergeCell ref="S5:T5"/>
    <mergeCell ref="S80:T80"/>
    <mergeCell ref="G81:H81"/>
    <mergeCell ref="I87:J87"/>
    <mergeCell ref="G2:L2"/>
    <mergeCell ref="G3:L3"/>
    <mergeCell ref="G4:L4"/>
    <mergeCell ref="G5:H5"/>
    <mergeCell ref="G80:H80"/>
    <mergeCell ref="C87:D87"/>
    <mergeCell ref="A2:F2"/>
    <mergeCell ref="A3:F3"/>
    <mergeCell ref="A4:F4"/>
    <mergeCell ref="A81:B81"/>
    <mergeCell ref="A80:B80"/>
    <mergeCell ref="A5:B5"/>
    <mergeCell ref="M81:N81"/>
    <mergeCell ref="M2:R2"/>
    <mergeCell ref="M3:R3"/>
    <mergeCell ref="M4:R4"/>
    <mergeCell ref="M5:N5"/>
    <mergeCell ref="M80:N80"/>
    <mergeCell ref="AE81:AF81"/>
    <mergeCell ref="AE45:AF45"/>
    <mergeCell ref="AE2:AJ2"/>
    <mergeCell ref="AE3:AJ3"/>
    <mergeCell ref="AE4:AJ4"/>
    <mergeCell ref="AE5:AF5"/>
    <mergeCell ref="AE80:AF80"/>
  </mergeCells>
  <printOptions/>
  <pageMargins left="0.7874015748031497" right="0.3937007874015748" top="0.5905511811023623" bottom="0.3937007874015748" header="0.6299212598425197" footer="0.4330708661417323"/>
  <pageSetup horizontalDpi="300" verticalDpi="300" orientation="portrait" paperSize="9" scale="90" r:id="rId1"/>
  <rowBreaks count="1" manualBreakCount="1">
    <brk id="43" max="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0"/>
  <sheetViews>
    <sheetView view="pageBreakPreview" zoomScale="120" zoomScaleSheetLayoutView="120" zoomScalePageLayoutView="0" workbookViewId="0" topLeftCell="A13">
      <selection activeCell="G16" sqref="G16"/>
    </sheetView>
  </sheetViews>
  <sheetFormatPr defaultColWidth="9.140625" defaultRowHeight="12.75"/>
  <cols>
    <col min="1" max="1" width="2.8515625" style="2" customWidth="1"/>
    <col min="2" max="2" width="14.8515625" style="2" customWidth="1"/>
    <col min="3" max="3" width="15.57421875" style="2" customWidth="1"/>
    <col min="4" max="4" width="13.421875" style="2" customWidth="1"/>
    <col min="5" max="5" width="14.00390625" style="2" customWidth="1"/>
    <col min="6" max="8" width="13.8515625" style="2" customWidth="1"/>
    <col min="9" max="9" width="15.8515625" style="2" customWidth="1"/>
    <col min="10" max="10" width="10.00390625" style="2" bestFit="1" customWidth="1"/>
    <col min="11" max="16384" width="9.140625" style="2" customWidth="1"/>
  </cols>
  <sheetData>
    <row r="1" spans="1:8" ht="18.75">
      <c r="A1" s="700" t="s">
        <v>29</v>
      </c>
      <c r="B1" s="700"/>
      <c r="C1" s="700"/>
      <c r="D1" s="700"/>
      <c r="E1" s="700"/>
      <c r="F1" s="700"/>
      <c r="G1" s="700"/>
      <c r="H1" s="109"/>
    </row>
    <row r="2" spans="1:8" ht="18.75">
      <c r="A2" s="700" t="s">
        <v>315</v>
      </c>
      <c r="B2" s="700"/>
      <c r="C2" s="700"/>
      <c r="D2" s="700"/>
      <c r="E2" s="700"/>
      <c r="F2" s="700"/>
      <c r="G2" s="700"/>
      <c r="H2" s="109"/>
    </row>
    <row r="4" spans="1:8" ht="18.75">
      <c r="A4" s="27" t="s">
        <v>466</v>
      </c>
      <c r="B4" s="4"/>
      <c r="C4" s="4"/>
      <c r="D4" s="25" t="s">
        <v>159</v>
      </c>
      <c r="E4" s="25" t="s">
        <v>316</v>
      </c>
      <c r="F4" s="25" t="s">
        <v>317</v>
      </c>
      <c r="G4" s="25" t="s">
        <v>318</v>
      </c>
      <c r="H4" s="112"/>
    </row>
    <row r="5" spans="2:8" ht="18.75">
      <c r="B5" s="67" t="s">
        <v>26</v>
      </c>
      <c r="D5" s="29">
        <v>3887.2199999999993</v>
      </c>
      <c r="E5" s="26">
        <v>34804.24</v>
      </c>
      <c r="F5" s="26">
        <v>3887.22</v>
      </c>
      <c r="G5" s="29">
        <f aca="true" t="shared" si="0" ref="G5:G13">SUM(D5+E5-F5)</f>
        <v>34804.24</v>
      </c>
      <c r="H5" s="106"/>
    </row>
    <row r="6" spans="2:8" ht="18.75">
      <c r="B6" s="67" t="s">
        <v>86</v>
      </c>
      <c r="D6" s="29">
        <v>4538.360000000001</v>
      </c>
      <c r="E6" s="26">
        <v>193.48</v>
      </c>
      <c r="F6" s="26">
        <v>0</v>
      </c>
      <c r="G6" s="29">
        <f t="shared" si="0"/>
        <v>4731.84</v>
      </c>
      <c r="H6" s="106"/>
    </row>
    <row r="7" spans="2:8" ht="18.75">
      <c r="B7" s="67" t="s">
        <v>27</v>
      </c>
      <c r="D7" s="29">
        <v>509852</v>
      </c>
      <c r="E7" s="26">
        <v>102800</v>
      </c>
      <c r="F7" s="26">
        <v>0</v>
      </c>
      <c r="G7" s="29">
        <f t="shared" si="0"/>
        <v>612652</v>
      </c>
      <c r="H7" s="106"/>
    </row>
    <row r="8" spans="2:8" ht="18.75">
      <c r="B8" s="67" t="s">
        <v>87</v>
      </c>
      <c r="D8" s="29">
        <v>1850</v>
      </c>
      <c r="E8" s="26">
        <v>0</v>
      </c>
      <c r="F8" s="26">
        <v>0</v>
      </c>
      <c r="G8" s="29">
        <f t="shared" si="0"/>
        <v>1850</v>
      </c>
      <c r="H8" s="106"/>
    </row>
    <row r="9" spans="2:8" ht="18.75">
      <c r="B9" s="67" t="s">
        <v>88</v>
      </c>
      <c r="D9" s="29">
        <v>18712.97999999988</v>
      </c>
      <c r="E9" s="26">
        <v>0</v>
      </c>
      <c r="F9" s="26">
        <v>0</v>
      </c>
      <c r="G9" s="29">
        <f t="shared" si="0"/>
        <v>18712.97999999988</v>
      </c>
      <c r="H9" s="106"/>
    </row>
    <row r="10" spans="2:8" ht="18.75">
      <c r="B10" s="67" t="s">
        <v>89</v>
      </c>
      <c r="D10" s="29">
        <v>14279.47</v>
      </c>
      <c r="E10" s="26">
        <v>0</v>
      </c>
      <c r="F10" s="26">
        <v>0</v>
      </c>
      <c r="G10" s="29">
        <f t="shared" si="0"/>
        <v>14279.47</v>
      </c>
      <c r="H10" s="106"/>
    </row>
    <row r="11" spans="2:8" ht="18.75">
      <c r="B11" s="67" t="s">
        <v>354</v>
      </c>
      <c r="D11" s="29">
        <v>0</v>
      </c>
      <c r="E11" s="26">
        <v>0</v>
      </c>
      <c r="F11" s="26">
        <v>0</v>
      </c>
      <c r="G11" s="29">
        <f t="shared" si="0"/>
        <v>0</v>
      </c>
      <c r="H11" s="106"/>
    </row>
    <row r="12" spans="2:8" ht="18.75">
      <c r="B12" s="2" t="s">
        <v>516</v>
      </c>
      <c r="D12" s="26">
        <v>9249</v>
      </c>
      <c r="E12" s="26">
        <v>9606</v>
      </c>
      <c r="F12" s="26">
        <v>9249</v>
      </c>
      <c r="G12" s="29">
        <f t="shared" si="0"/>
        <v>9606</v>
      </c>
      <c r="H12" s="106"/>
    </row>
    <row r="13" spans="2:8" ht="18.75">
      <c r="B13" s="2" t="s">
        <v>679</v>
      </c>
      <c r="D13" s="26">
        <v>0</v>
      </c>
      <c r="E13" s="26">
        <v>890</v>
      </c>
      <c r="F13" s="26">
        <v>0</v>
      </c>
      <c r="G13" s="29">
        <f t="shared" si="0"/>
        <v>890</v>
      </c>
      <c r="H13" s="106"/>
    </row>
    <row r="14" spans="4:8" ht="18.75">
      <c r="D14" s="26"/>
      <c r="E14" s="26"/>
      <c r="F14" s="26"/>
      <c r="G14" s="29"/>
      <c r="H14" s="106">
        <f>+งบดุลบัญชี!BZ33</f>
        <v>455660.66</v>
      </c>
    </row>
    <row r="15" spans="2:10" ht="18.75">
      <c r="B15" s="700" t="s">
        <v>17</v>
      </c>
      <c r="C15" s="748"/>
      <c r="D15" s="29">
        <f>SUM(D5:D14)</f>
        <v>562369.0299999999</v>
      </c>
      <c r="E15" s="29">
        <f>SUM(E5:E14)</f>
        <v>148293.72</v>
      </c>
      <c r="F15" s="29">
        <f>SUM(F5:F14)</f>
        <v>13136.22</v>
      </c>
      <c r="G15" s="29">
        <f>SUM(G5:G14)</f>
        <v>697526.5299999998</v>
      </c>
      <c r="H15" s="29">
        <f>+H14-G15</f>
        <v>-241865.86999999982</v>
      </c>
      <c r="I15" s="10">
        <v>1438222.95</v>
      </c>
      <c r="J15" s="113">
        <f>+I15-G15</f>
        <v>740696.4200000002</v>
      </c>
    </row>
    <row r="16" spans="4:8" ht="18.75">
      <c r="D16" s="113"/>
      <c r="H16" s="113">
        <f>+G15-H14</f>
        <v>241865.86999999982</v>
      </c>
    </row>
    <row r="19" ht="18.75">
      <c r="A19" s="27" t="s">
        <v>467</v>
      </c>
    </row>
    <row r="20" spans="1:6" ht="18.75">
      <c r="A20" s="27"/>
      <c r="B20" s="27" t="s">
        <v>322</v>
      </c>
      <c r="F20" s="1" t="s">
        <v>24</v>
      </c>
    </row>
    <row r="21" spans="2:6" ht="18.75">
      <c r="B21" s="2" t="s">
        <v>321</v>
      </c>
      <c r="F21" s="3">
        <v>0</v>
      </c>
    </row>
    <row r="22" spans="2:6" ht="18.75">
      <c r="B22" s="2" t="s">
        <v>9</v>
      </c>
      <c r="F22" s="3">
        <v>0</v>
      </c>
    </row>
    <row r="23" spans="2:6" ht="18.75">
      <c r="B23" s="2" t="s">
        <v>10</v>
      </c>
      <c r="F23" s="3">
        <f>57700+31500+91300+410000+411200+326500+426000+134000+194500+18400+934000+73000+58800</f>
        <v>3166900</v>
      </c>
    </row>
    <row r="24" ht="18.75">
      <c r="F24" s="3"/>
    </row>
    <row r="25" spans="5:8" ht="19.5" thickBot="1">
      <c r="E25" s="4" t="s">
        <v>17</v>
      </c>
      <c r="F25" s="5">
        <f>SUM(F21:F24)</f>
        <v>3166900</v>
      </c>
      <c r="H25" s="3">
        <v>157910</v>
      </c>
    </row>
    <row r="26" ht="19.5" thickTop="1">
      <c r="J26" s="2">
        <f>1595588-478931</f>
        <v>1116657</v>
      </c>
    </row>
    <row r="27" spans="1:7" ht="18.75" hidden="1">
      <c r="A27" s="700" t="s">
        <v>29</v>
      </c>
      <c r="B27" s="700"/>
      <c r="C27" s="700"/>
      <c r="D27" s="700"/>
      <c r="E27" s="700"/>
      <c r="F27" s="700"/>
      <c r="G27" s="700"/>
    </row>
    <row r="28" spans="1:7" ht="18.75" hidden="1">
      <c r="A28" s="700" t="s">
        <v>315</v>
      </c>
      <c r="B28" s="700"/>
      <c r="C28" s="700"/>
      <c r="D28" s="700"/>
      <c r="E28" s="700"/>
      <c r="F28" s="700"/>
      <c r="G28" s="700"/>
    </row>
    <row r="29" ht="18.75" hidden="1"/>
    <row r="30" spans="1:7" ht="18.75" hidden="1">
      <c r="A30" s="27" t="s">
        <v>319</v>
      </c>
      <c r="B30" s="4"/>
      <c r="C30" s="4"/>
      <c r="D30" s="159" t="s">
        <v>159</v>
      </c>
      <c r="E30" s="159" t="s">
        <v>316</v>
      </c>
      <c r="F30" s="159" t="s">
        <v>317</v>
      </c>
      <c r="G30" s="159" t="s">
        <v>318</v>
      </c>
    </row>
    <row r="31" spans="2:7" ht="18.75" hidden="1">
      <c r="B31" s="67" t="s">
        <v>26</v>
      </c>
      <c r="D31" s="26">
        <v>15331.1</v>
      </c>
      <c r="E31" s="26">
        <v>21919.65</v>
      </c>
      <c r="F31" s="26">
        <f>7278.2+8052.9</f>
        <v>15331.099999999999</v>
      </c>
      <c r="G31" s="29">
        <f>SUM(D31+E31-F31)</f>
        <v>21919.65</v>
      </c>
    </row>
    <row r="32" spans="2:7" ht="18.75" hidden="1">
      <c r="B32" s="67" t="s">
        <v>86</v>
      </c>
      <c r="D32" s="26">
        <v>2932.8</v>
      </c>
      <c r="E32" s="26">
        <v>179.34</v>
      </c>
      <c r="F32" s="26">
        <v>0</v>
      </c>
      <c r="G32" s="29">
        <f aca="true" t="shared" si="1" ref="G32:G37">SUM(D32+E32-F32)</f>
        <v>3112.1400000000003</v>
      </c>
    </row>
    <row r="33" spans="2:7" ht="18.75" hidden="1">
      <c r="B33" s="67" t="s">
        <v>27</v>
      </c>
      <c r="D33" s="26">
        <v>522794.55</v>
      </c>
      <c r="E33" s="26">
        <v>331847</v>
      </c>
      <c r="F33" s="26">
        <v>14688</v>
      </c>
      <c r="G33" s="29">
        <f t="shared" si="1"/>
        <v>839953.55</v>
      </c>
    </row>
    <row r="34" spans="2:7" ht="18.75" hidden="1">
      <c r="B34" s="67" t="s">
        <v>87</v>
      </c>
      <c r="D34" s="26">
        <v>1850</v>
      </c>
      <c r="E34" s="26">
        <v>0</v>
      </c>
      <c r="F34" s="26">
        <f>SUM(งบดุลบัญชี!AK64)</f>
        <v>0</v>
      </c>
      <c r="G34" s="29">
        <f t="shared" si="1"/>
        <v>1850</v>
      </c>
    </row>
    <row r="35" spans="2:7" ht="18.75" hidden="1">
      <c r="B35" s="67" t="s">
        <v>88</v>
      </c>
      <c r="D35" s="26">
        <v>885797.33</v>
      </c>
      <c r="E35" s="26">
        <v>2798.2</v>
      </c>
      <c r="F35" s="26">
        <f>SUM(งบดุลบัญชี!AK65)</f>
        <v>0</v>
      </c>
      <c r="G35" s="29">
        <f t="shared" si="1"/>
        <v>888595.5299999999</v>
      </c>
    </row>
    <row r="36" spans="2:7" ht="18.75" hidden="1">
      <c r="B36" s="67" t="s">
        <v>89</v>
      </c>
      <c r="D36" s="26">
        <v>14279.47</v>
      </c>
      <c r="E36" s="26">
        <f>SUM(งบดุลบัญชี!AL66)</f>
        <v>0</v>
      </c>
      <c r="F36" s="26">
        <f>SUM(งบดุลบัญชี!AK66)</f>
        <v>0</v>
      </c>
      <c r="G36" s="29">
        <f t="shared" si="1"/>
        <v>14279.47</v>
      </c>
    </row>
    <row r="37" spans="2:7" ht="18.75" hidden="1">
      <c r="B37" s="67" t="s">
        <v>354</v>
      </c>
      <c r="D37" s="26">
        <v>750</v>
      </c>
      <c r="E37" s="26">
        <v>0</v>
      </c>
      <c r="F37" s="26">
        <v>0</v>
      </c>
      <c r="G37" s="29">
        <f t="shared" si="1"/>
        <v>750</v>
      </c>
    </row>
    <row r="38" spans="4:7" ht="18.75" hidden="1">
      <c r="D38" s="26"/>
      <c r="E38" s="26"/>
      <c r="F38" s="26"/>
      <c r="G38" s="29"/>
    </row>
    <row r="39" spans="4:7" ht="18.75" hidden="1">
      <c r="D39" s="26"/>
      <c r="E39" s="26"/>
      <c r="F39" s="26"/>
      <c r="G39" s="29"/>
    </row>
    <row r="40" spans="4:7" ht="18.75" hidden="1">
      <c r="D40" s="26"/>
      <c r="E40" s="26"/>
      <c r="F40" s="26"/>
      <c r="G40" s="29"/>
    </row>
    <row r="41" spans="2:7" ht="18.75" hidden="1">
      <c r="B41" s="700" t="s">
        <v>17</v>
      </c>
      <c r="C41" s="748"/>
      <c r="D41" s="29">
        <f>SUM(D31:D40)</f>
        <v>1443735.2499999998</v>
      </c>
      <c r="E41" s="29">
        <f>SUM(E31:E40)</f>
        <v>356744.19</v>
      </c>
      <c r="F41" s="29">
        <f>SUM(F31:F40)</f>
        <v>30019.1</v>
      </c>
      <c r="G41" s="29">
        <f>SUM(G31:G40)</f>
        <v>1770460.34</v>
      </c>
    </row>
    <row r="42" ht="18.75" hidden="1"/>
    <row r="43" ht="18.75" hidden="1"/>
    <row r="44" ht="18.75" hidden="1"/>
    <row r="45" ht="18.75" hidden="1">
      <c r="A45" s="27" t="s">
        <v>320</v>
      </c>
    </row>
    <row r="46" spans="1:6" ht="18.75" hidden="1">
      <c r="A46" s="27"/>
      <c r="B46" s="27" t="s">
        <v>322</v>
      </c>
      <c r="F46" s="158" t="s">
        <v>24</v>
      </c>
    </row>
    <row r="47" spans="2:6" ht="18.75" hidden="1">
      <c r="B47" s="2" t="s">
        <v>321</v>
      </c>
      <c r="F47" s="3">
        <v>0</v>
      </c>
    </row>
    <row r="48" spans="2:6" ht="18.75" hidden="1">
      <c r="B48" s="2" t="s">
        <v>10</v>
      </c>
      <c r="F48" s="3">
        <f>1575588-79461-379470-105504-527810</f>
        <v>483343</v>
      </c>
    </row>
    <row r="49" ht="18.75" hidden="1">
      <c r="F49" s="3"/>
    </row>
    <row r="50" spans="5:6" ht="19.5" hidden="1" thickBot="1">
      <c r="E50" s="4" t="s">
        <v>17</v>
      </c>
      <c r="F50" s="5">
        <f>SUM(F47:F49)</f>
        <v>483343</v>
      </c>
    </row>
  </sheetData>
  <sheetProtection/>
  <mergeCells count="6">
    <mergeCell ref="B41:C41"/>
    <mergeCell ref="A1:G1"/>
    <mergeCell ref="A2:G2"/>
    <mergeCell ref="B15:C15"/>
    <mergeCell ref="A27:G27"/>
    <mergeCell ref="A28:G28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  <rowBreaks count="1" manualBreakCount="1">
    <brk id="2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8"/>
  <sheetViews>
    <sheetView view="pageBreakPreview" zoomScaleSheetLayoutView="100" zoomScalePageLayoutView="0" workbookViewId="0" topLeftCell="A206">
      <selection activeCell="F236" sqref="F236"/>
    </sheetView>
  </sheetViews>
  <sheetFormatPr defaultColWidth="9.140625" defaultRowHeight="12.75"/>
  <cols>
    <col min="1" max="1" width="9.140625" style="2" customWidth="1"/>
    <col min="2" max="2" width="37.28125" style="2" customWidth="1"/>
    <col min="3" max="3" width="16.421875" style="2" customWidth="1"/>
    <col min="4" max="4" width="4.7109375" style="2" customWidth="1"/>
    <col min="5" max="5" width="18.57421875" style="2" customWidth="1"/>
    <col min="6" max="6" width="13.57421875" style="150" bestFit="1" customWidth="1"/>
    <col min="7" max="7" width="13.57421875" style="149" bestFit="1" customWidth="1"/>
    <col min="8" max="9" width="13.57421875" style="2" bestFit="1" customWidth="1"/>
    <col min="10" max="16384" width="9.140625" style="2" customWidth="1"/>
  </cols>
  <sheetData>
    <row r="1" spans="1:5" ht="18.75">
      <c r="A1" s="700" t="s">
        <v>29</v>
      </c>
      <c r="B1" s="700"/>
      <c r="C1" s="700"/>
      <c r="D1" s="700"/>
      <c r="E1" s="700"/>
    </row>
    <row r="2" spans="1:5" ht="18.75">
      <c r="A2" s="700" t="s">
        <v>168</v>
      </c>
      <c r="B2" s="700"/>
      <c r="C2" s="700"/>
      <c r="D2" s="700"/>
      <c r="E2" s="700"/>
    </row>
    <row r="3" spans="1:5" ht="18.75">
      <c r="A3" s="700" t="s">
        <v>614</v>
      </c>
      <c r="B3" s="700"/>
      <c r="C3" s="700"/>
      <c r="D3" s="700"/>
      <c r="E3" s="700"/>
    </row>
    <row r="5" spans="3:5" ht="18.75">
      <c r="C5" s="301" t="s">
        <v>157</v>
      </c>
      <c r="D5" s="301"/>
      <c r="E5" s="301" t="s">
        <v>179</v>
      </c>
    </row>
    <row r="6" ht="18.75">
      <c r="A6" s="4" t="s">
        <v>18</v>
      </c>
    </row>
    <row r="7" spans="2:5" ht="18.75">
      <c r="B7" s="2" t="s">
        <v>169</v>
      </c>
      <c r="C7" s="3">
        <v>655305.82</v>
      </c>
      <c r="D7" s="3"/>
      <c r="E7" s="3">
        <f>C7</f>
        <v>655305.82</v>
      </c>
    </row>
    <row r="8" spans="2:5" ht="18.75">
      <c r="B8" s="2" t="s">
        <v>170</v>
      </c>
      <c r="C8" s="3">
        <f>7.76+6002+1623.51</f>
        <v>7633.27</v>
      </c>
      <c r="D8" s="3"/>
      <c r="E8" s="3">
        <f aca="true" t="shared" si="0" ref="E8:E19">C8</f>
        <v>7633.27</v>
      </c>
    </row>
    <row r="9" spans="2:5" ht="18.75">
      <c r="B9" s="2" t="s">
        <v>171</v>
      </c>
      <c r="C9" s="3">
        <v>0</v>
      </c>
      <c r="D9" s="3"/>
      <c r="E9" s="3">
        <f t="shared" si="0"/>
        <v>0</v>
      </c>
    </row>
    <row r="10" spans="2:5" ht="18.75">
      <c r="B10" s="2" t="s">
        <v>172</v>
      </c>
      <c r="C10" s="3">
        <v>0</v>
      </c>
      <c r="D10" s="3"/>
      <c r="E10" s="3">
        <f t="shared" si="0"/>
        <v>0</v>
      </c>
    </row>
    <row r="11" spans="2:5" ht="18.75">
      <c r="B11" s="2" t="s">
        <v>390</v>
      </c>
      <c r="C11" s="3">
        <v>112.65</v>
      </c>
      <c r="D11" s="3"/>
      <c r="E11" s="3">
        <f t="shared" si="0"/>
        <v>112.65</v>
      </c>
    </row>
    <row r="12" spans="2:5" ht="18.75">
      <c r="B12" s="2" t="s">
        <v>343</v>
      </c>
      <c r="C12" s="3">
        <v>1720</v>
      </c>
      <c r="D12" s="3"/>
      <c r="E12" s="3">
        <f t="shared" si="0"/>
        <v>1720</v>
      </c>
    </row>
    <row r="13" spans="2:5" ht="18.75">
      <c r="B13" s="2" t="s">
        <v>391</v>
      </c>
      <c r="C13" s="3">
        <v>0</v>
      </c>
      <c r="D13" s="3"/>
      <c r="E13" s="3">
        <f t="shared" si="0"/>
        <v>0</v>
      </c>
    </row>
    <row r="14" spans="2:5" ht="18.75">
      <c r="B14" s="2" t="s">
        <v>419</v>
      </c>
      <c r="C14" s="3">
        <v>0</v>
      </c>
      <c r="D14" s="3"/>
      <c r="E14" s="3">
        <f t="shared" si="0"/>
        <v>0</v>
      </c>
    </row>
    <row r="15" spans="2:5" ht="18.75">
      <c r="B15" s="2" t="s">
        <v>605</v>
      </c>
      <c r="C15" s="3">
        <v>1400</v>
      </c>
      <c r="D15" s="3"/>
      <c r="E15" s="3">
        <f t="shared" si="0"/>
        <v>1400</v>
      </c>
    </row>
    <row r="16" spans="2:5" ht="18.75">
      <c r="B16" s="2" t="s">
        <v>418</v>
      </c>
      <c r="C16" s="3">
        <v>0</v>
      </c>
      <c r="D16" s="3"/>
      <c r="E16" s="3">
        <f t="shared" si="0"/>
        <v>0</v>
      </c>
    </row>
    <row r="17" spans="2:5" ht="18.75">
      <c r="B17" s="2" t="s">
        <v>426</v>
      </c>
      <c r="C17" s="3">
        <v>0</v>
      </c>
      <c r="D17" s="3"/>
      <c r="E17" s="3">
        <f t="shared" si="0"/>
        <v>0</v>
      </c>
    </row>
    <row r="18" spans="2:5" ht="18.75">
      <c r="B18" s="2" t="s">
        <v>424</v>
      </c>
      <c r="C18" s="3">
        <v>0</v>
      </c>
      <c r="D18" s="3"/>
      <c r="E18" s="3">
        <f t="shared" si="0"/>
        <v>0</v>
      </c>
    </row>
    <row r="19" spans="2:5" ht="18.75">
      <c r="B19" s="2" t="s">
        <v>361</v>
      </c>
      <c r="C19" s="3">
        <v>0</v>
      </c>
      <c r="D19" s="3"/>
      <c r="E19" s="3">
        <f t="shared" si="0"/>
        <v>0</v>
      </c>
    </row>
    <row r="20" spans="3:5" ht="18.75">
      <c r="C20" s="3"/>
      <c r="D20" s="3"/>
      <c r="E20" s="3"/>
    </row>
    <row r="21" spans="2:5" ht="19.5" thickBot="1">
      <c r="B21" s="301" t="s">
        <v>17</v>
      </c>
      <c r="C21" s="5">
        <f>SUM(C7:C19)</f>
        <v>666171.74</v>
      </c>
      <c r="D21" s="105"/>
      <c r="E21" s="5">
        <f>SUM(E7:E19)</f>
        <v>666171.74</v>
      </c>
    </row>
    <row r="22" spans="3:5" ht="19.5" thickTop="1">
      <c r="C22" s="3"/>
      <c r="D22" s="3"/>
      <c r="E22" s="3"/>
    </row>
    <row r="23" spans="1:5" ht="18.75">
      <c r="A23" s="4" t="s">
        <v>30</v>
      </c>
      <c r="C23" s="3"/>
      <c r="D23" s="3"/>
      <c r="E23" s="3"/>
    </row>
    <row r="24" spans="2:5" ht="18.75">
      <c r="B24" s="2" t="s">
        <v>173</v>
      </c>
      <c r="C24" s="3">
        <f>7500+209060+253107.58+27285+177900+42983+52522.25+7830+85726.58</f>
        <v>863914.4099999999</v>
      </c>
      <c r="D24" s="3"/>
      <c r="E24" s="3">
        <f>C24</f>
        <v>863914.4099999999</v>
      </c>
    </row>
    <row r="25" spans="2:5" ht="18.75">
      <c r="B25" s="2" t="s">
        <v>174</v>
      </c>
      <c r="C25" s="3">
        <f>17618.61+8490+1707.67</f>
        <v>27816.28</v>
      </c>
      <c r="D25" s="3"/>
      <c r="E25" s="3">
        <f aca="true" t="shared" si="1" ref="E25:E36">C25</f>
        <v>27816.28</v>
      </c>
    </row>
    <row r="26" spans="2:5" ht="18.75">
      <c r="B26" s="2" t="s">
        <v>28</v>
      </c>
      <c r="C26" s="3">
        <v>0</v>
      </c>
      <c r="D26" s="3"/>
      <c r="E26" s="3">
        <f t="shared" si="1"/>
        <v>0</v>
      </c>
    </row>
    <row r="27" spans="2:5" ht="18.75">
      <c r="B27" s="2" t="s">
        <v>175</v>
      </c>
      <c r="C27" s="3">
        <v>0</v>
      </c>
      <c r="D27" s="3"/>
      <c r="E27" s="3">
        <f t="shared" si="1"/>
        <v>0</v>
      </c>
    </row>
    <row r="28" spans="2:5" ht="18.75">
      <c r="B28" s="2" t="s">
        <v>176</v>
      </c>
      <c r="C28" s="3">
        <v>0</v>
      </c>
      <c r="D28" s="3"/>
      <c r="E28" s="3">
        <f t="shared" si="1"/>
        <v>0</v>
      </c>
    </row>
    <row r="29" spans="2:5" ht="18.75">
      <c r="B29" s="2" t="s">
        <v>177</v>
      </c>
      <c r="C29" s="3">
        <v>141350</v>
      </c>
      <c r="D29" s="3"/>
      <c r="E29" s="3">
        <f t="shared" si="1"/>
        <v>141350</v>
      </c>
    </row>
    <row r="30" spans="2:5" ht="18.75">
      <c r="B30" s="2" t="s">
        <v>178</v>
      </c>
      <c r="C30" s="3">
        <v>979900</v>
      </c>
      <c r="D30" s="3"/>
      <c r="E30" s="3">
        <f t="shared" si="1"/>
        <v>979900</v>
      </c>
    </row>
    <row r="31" spans="2:5" ht="18.75">
      <c r="B31" s="2" t="s">
        <v>452</v>
      </c>
      <c r="C31" s="3">
        <v>0</v>
      </c>
      <c r="D31" s="3"/>
      <c r="E31" s="3">
        <f t="shared" si="1"/>
        <v>0</v>
      </c>
    </row>
    <row r="32" spans="2:5" ht="18.75">
      <c r="B32" s="2" t="s">
        <v>59</v>
      </c>
      <c r="C32" s="3">
        <v>0</v>
      </c>
      <c r="D32" s="3"/>
      <c r="E32" s="3">
        <f t="shared" si="1"/>
        <v>0</v>
      </c>
    </row>
    <row r="33" spans="2:5" ht="18.75">
      <c r="B33" s="2" t="s">
        <v>14</v>
      </c>
      <c r="C33" s="3">
        <v>157910</v>
      </c>
      <c r="D33" s="3"/>
      <c r="E33" s="3">
        <f t="shared" si="1"/>
        <v>157910</v>
      </c>
    </row>
    <row r="34" spans="2:5" ht="18.75" hidden="1">
      <c r="B34" s="2" t="s">
        <v>535</v>
      </c>
      <c r="C34" s="3">
        <v>0</v>
      </c>
      <c r="D34" s="3"/>
      <c r="E34" s="3">
        <f t="shared" si="1"/>
        <v>0</v>
      </c>
    </row>
    <row r="35" spans="2:5" ht="18.75" hidden="1">
      <c r="B35" s="2" t="s">
        <v>536</v>
      </c>
      <c r="C35" s="3">
        <v>0</v>
      </c>
      <c r="D35" s="3"/>
      <c r="E35" s="3">
        <f t="shared" si="1"/>
        <v>0</v>
      </c>
    </row>
    <row r="36" spans="2:5" ht="18.75" hidden="1">
      <c r="B36" s="2" t="s">
        <v>534</v>
      </c>
      <c r="C36" s="3">
        <v>0</v>
      </c>
      <c r="D36" s="3"/>
      <c r="E36" s="3">
        <f t="shared" si="1"/>
        <v>0</v>
      </c>
    </row>
    <row r="37" spans="3:5" ht="18.75">
      <c r="C37" s="3"/>
      <c r="D37" s="3"/>
      <c r="E37" s="3"/>
    </row>
    <row r="38" spans="2:5" ht="19.5" thickBot="1">
      <c r="B38" s="301" t="s">
        <v>17</v>
      </c>
      <c r="C38" s="5">
        <f>SUM(C24:C36)</f>
        <v>2170890.69</v>
      </c>
      <c r="D38" s="106"/>
      <c r="E38" s="5">
        <f>SUM(E24:E36)</f>
        <v>2170890.69</v>
      </c>
    </row>
    <row r="39" spans="2:5" ht="20.25" thickBot="1" thickTop="1">
      <c r="B39" s="301" t="s">
        <v>183</v>
      </c>
      <c r="C39" s="107">
        <f>SUM(C21-C38)</f>
        <v>-1504718.95</v>
      </c>
      <c r="D39" s="108"/>
      <c r="E39" s="107">
        <f>SUM(E21-E38)</f>
        <v>-1504718.95</v>
      </c>
    </row>
    <row r="40" spans="1:5" ht="19.5" thickTop="1">
      <c r="A40" s="700" t="s">
        <v>29</v>
      </c>
      <c r="B40" s="700"/>
      <c r="C40" s="700"/>
      <c r="D40" s="700"/>
      <c r="E40" s="700"/>
    </row>
    <row r="41" spans="1:5" ht="18.75">
      <c r="A41" s="700" t="s">
        <v>168</v>
      </c>
      <c r="B41" s="700"/>
      <c r="C41" s="700"/>
      <c r="D41" s="700"/>
      <c r="E41" s="700"/>
    </row>
    <row r="42" spans="1:5" ht="18.75">
      <c r="A42" s="700" t="s">
        <v>613</v>
      </c>
      <c r="B42" s="700"/>
      <c r="C42" s="700"/>
      <c r="D42" s="700"/>
      <c r="E42" s="700"/>
    </row>
    <row r="44" spans="3:5" ht="18.75">
      <c r="C44" s="436" t="s">
        <v>157</v>
      </c>
      <c r="D44" s="436"/>
      <c r="E44" s="436" t="s">
        <v>179</v>
      </c>
    </row>
    <row r="45" ht="18.75">
      <c r="A45" s="4" t="s">
        <v>18</v>
      </c>
    </row>
    <row r="46" spans="2:5" ht="18.75">
      <c r="B46" s="2" t="s">
        <v>169</v>
      </c>
      <c r="C46" s="3">
        <v>833343.98</v>
      </c>
      <c r="D46" s="3"/>
      <c r="E46" s="3">
        <f>C46+E7</f>
        <v>1488649.7999999998</v>
      </c>
    </row>
    <row r="47" spans="2:5" ht="18.75">
      <c r="B47" s="2" t="s">
        <v>170</v>
      </c>
      <c r="C47" s="3">
        <f>3148.61+2067.64</f>
        <v>5216.25</v>
      </c>
      <c r="D47" s="3"/>
      <c r="E47" s="3">
        <f aca="true" t="shared" si="2" ref="E47:E58">C47+E8</f>
        <v>12849.52</v>
      </c>
    </row>
    <row r="48" spans="2:5" ht="18.75">
      <c r="B48" s="2" t="s">
        <v>171</v>
      </c>
      <c r="C48" s="3">
        <v>0</v>
      </c>
      <c r="D48" s="3"/>
      <c r="E48" s="3">
        <f t="shared" si="2"/>
        <v>0</v>
      </c>
    </row>
    <row r="49" spans="2:5" ht="18.75">
      <c r="B49" s="2" t="s">
        <v>172</v>
      </c>
      <c r="C49" s="3">
        <v>4781400</v>
      </c>
      <c r="D49" s="3"/>
      <c r="E49" s="3">
        <f t="shared" si="2"/>
        <v>4781400</v>
      </c>
    </row>
    <row r="50" spans="2:5" ht="18.75">
      <c r="B50" s="2" t="s">
        <v>390</v>
      </c>
      <c r="C50" s="3">
        <v>0</v>
      </c>
      <c r="D50" s="3"/>
      <c r="E50" s="3">
        <f t="shared" si="2"/>
        <v>112.65</v>
      </c>
    </row>
    <row r="51" spans="2:5" ht="18.75">
      <c r="B51" s="2" t="s">
        <v>343</v>
      </c>
      <c r="C51" s="3">
        <v>95</v>
      </c>
      <c r="D51" s="3"/>
      <c r="E51" s="3">
        <f t="shared" si="2"/>
        <v>1815</v>
      </c>
    </row>
    <row r="52" spans="2:5" ht="18.75">
      <c r="B52" s="2" t="s">
        <v>391</v>
      </c>
      <c r="C52" s="3">
        <v>0</v>
      </c>
      <c r="D52" s="3"/>
      <c r="E52" s="3">
        <f t="shared" si="2"/>
        <v>0</v>
      </c>
    </row>
    <row r="53" spans="2:5" ht="18.75">
      <c r="B53" s="2" t="s">
        <v>419</v>
      </c>
      <c r="C53" s="3">
        <v>0</v>
      </c>
      <c r="D53" s="3"/>
      <c r="E53" s="3">
        <f t="shared" si="2"/>
        <v>0</v>
      </c>
    </row>
    <row r="54" spans="2:5" ht="18.75">
      <c r="B54" s="2" t="s">
        <v>605</v>
      </c>
      <c r="C54" s="3">
        <v>0</v>
      </c>
      <c r="D54" s="3"/>
      <c r="E54" s="3">
        <f t="shared" si="2"/>
        <v>1400</v>
      </c>
    </row>
    <row r="55" spans="2:5" ht="18.75">
      <c r="B55" s="2" t="s">
        <v>418</v>
      </c>
      <c r="C55" s="3">
        <v>0</v>
      </c>
      <c r="D55" s="3"/>
      <c r="E55" s="3">
        <f t="shared" si="2"/>
        <v>0</v>
      </c>
    </row>
    <row r="56" spans="2:5" ht="18.75">
      <c r="B56" s="2" t="s">
        <v>426</v>
      </c>
      <c r="C56" s="3">
        <v>0</v>
      </c>
      <c r="D56" s="3"/>
      <c r="E56" s="3">
        <f t="shared" si="2"/>
        <v>0</v>
      </c>
    </row>
    <row r="57" spans="2:5" ht="18.75">
      <c r="B57" s="2" t="s">
        <v>424</v>
      </c>
      <c r="C57" s="3">
        <v>310</v>
      </c>
      <c r="D57" s="3"/>
      <c r="E57" s="3">
        <f t="shared" si="2"/>
        <v>310</v>
      </c>
    </row>
    <row r="58" spans="2:5" ht="18.75">
      <c r="B58" s="2" t="s">
        <v>361</v>
      </c>
      <c r="C58" s="3">
        <v>0</v>
      </c>
      <c r="D58" s="3"/>
      <c r="E58" s="3">
        <f t="shared" si="2"/>
        <v>0</v>
      </c>
    </row>
    <row r="59" spans="3:5" ht="18.75">
      <c r="C59" s="3"/>
      <c r="D59" s="3"/>
      <c r="E59" s="3"/>
    </row>
    <row r="60" spans="2:5" ht="19.5" thickBot="1">
      <c r="B60" s="436" t="s">
        <v>17</v>
      </c>
      <c r="C60" s="5">
        <f>SUM(C46:C58)</f>
        <v>5620365.23</v>
      </c>
      <c r="D60" s="105"/>
      <c r="E60" s="5">
        <f>SUM(E46:E58)</f>
        <v>6286536.970000001</v>
      </c>
    </row>
    <row r="61" spans="3:5" ht="19.5" thickTop="1">
      <c r="C61" s="3"/>
      <c r="D61" s="3"/>
      <c r="E61" s="3"/>
    </row>
    <row r="62" spans="1:5" ht="18.75">
      <c r="A62" s="4" t="s">
        <v>30</v>
      </c>
      <c r="C62" s="3"/>
      <c r="D62" s="3"/>
      <c r="E62" s="3"/>
    </row>
    <row r="63" spans="2:5" ht="18.75">
      <c r="B63" s="2" t="s">
        <v>173</v>
      </c>
      <c r="C63" s="3">
        <f>193497+209060+264225+27285+168900+7950.4+426363.5+106769+3646.09+7900+98500+921000</f>
        <v>2435095.99</v>
      </c>
      <c r="D63" s="3"/>
      <c r="E63" s="3">
        <f>C63+E24</f>
        <v>3299010.4000000004</v>
      </c>
    </row>
    <row r="64" spans="2:5" ht="18.75">
      <c r="B64" s="2" t="s">
        <v>174</v>
      </c>
      <c r="C64" s="3">
        <f>1623.51+450</f>
        <v>2073.51</v>
      </c>
      <c r="D64" s="3"/>
      <c r="E64" s="3">
        <f aca="true" t="shared" si="3" ref="E64:E75">C64+E25</f>
        <v>29889.79</v>
      </c>
    </row>
    <row r="65" spans="2:5" ht="18.75">
      <c r="B65" s="2" t="s">
        <v>28</v>
      </c>
      <c r="C65" s="3">
        <v>7704</v>
      </c>
      <c r="D65" s="3"/>
      <c r="E65" s="3">
        <f t="shared" si="3"/>
        <v>7704</v>
      </c>
    </row>
    <row r="66" spans="2:5" ht="18.75">
      <c r="B66" s="2" t="s">
        <v>175</v>
      </c>
      <c r="C66" s="3">
        <v>0</v>
      </c>
      <c r="D66" s="3"/>
      <c r="E66" s="3">
        <f t="shared" si="3"/>
        <v>0</v>
      </c>
    </row>
    <row r="67" spans="2:5" ht="18.75">
      <c r="B67" s="2" t="s">
        <v>176</v>
      </c>
      <c r="C67" s="3">
        <v>0</v>
      </c>
      <c r="D67" s="3"/>
      <c r="E67" s="3">
        <f t="shared" si="3"/>
        <v>0</v>
      </c>
    </row>
    <row r="68" spans="2:5" ht="18.75">
      <c r="B68" s="2" t="s">
        <v>177</v>
      </c>
      <c r="C68" s="3">
        <v>37340</v>
      </c>
      <c r="D68" s="3"/>
      <c r="E68" s="3">
        <f t="shared" si="3"/>
        <v>178690</v>
      </c>
    </row>
    <row r="69" spans="2:5" ht="18.75">
      <c r="B69" s="2" t="s">
        <v>178</v>
      </c>
      <c r="C69" s="3">
        <v>978840</v>
      </c>
      <c r="D69" s="3"/>
      <c r="E69" s="3">
        <f t="shared" si="3"/>
        <v>1958740</v>
      </c>
    </row>
    <row r="70" spans="2:5" ht="18.75">
      <c r="B70" s="2" t="s">
        <v>452</v>
      </c>
      <c r="C70" s="3">
        <v>0</v>
      </c>
      <c r="D70" s="3"/>
      <c r="E70" s="3">
        <f t="shared" si="3"/>
        <v>0</v>
      </c>
    </row>
    <row r="71" spans="2:5" ht="18.75">
      <c r="B71" s="2" t="s">
        <v>59</v>
      </c>
      <c r="C71" s="3">
        <v>0</v>
      </c>
      <c r="D71" s="3"/>
      <c r="E71" s="3">
        <f t="shared" si="3"/>
        <v>0</v>
      </c>
    </row>
    <row r="72" spans="2:5" ht="18.75">
      <c r="B72" s="2" t="s">
        <v>14</v>
      </c>
      <c r="C72" s="3">
        <v>0</v>
      </c>
      <c r="D72" s="3"/>
      <c r="E72" s="3">
        <f t="shared" si="3"/>
        <v>157910</v>
      </c>
    </row>
    <row r="73" spans="2:5" ht="18.75">
      <c r="B73" s="2" t="s">
        <v>535</v>
      </c>
      <c r="C73" s="3">
        <v>0</v>
      </c>
      <c r="D73" s="3"/>
      <c r="E73" s="3">
        <f t="shared" si="3"/>
        <v>0</v>
      </c>
    </row>
    <row r="74" spans="2:5" ht="18.75">
      <c r="B74" s="2" t="s">
        <v>536</v>
      </c>
      <c r="C74" s="3">
        <v>0</v>
      </c>
      <c r="D74" s="3"/>
      <c r="E74" s="3">
        <f t="shared" si="3"/>
        <v>0</v>
      </c>
    </row>
    <row r="75" spans="2:5" ht="18.75">
      <c r="B75" s="2" t="s">
        <v>534</v>
      </c>
      <c r="C75" s="3">
        <v>0</v>
      </c>
      <c r="D75" s="3"/>
      <c r="E75" s="3">
        <f t="shared" si="3"/>
        <v>0</v>
      </c>
    </row>
    <row r="76" spans="3:5" ht="18.75">
      <c r="C76" s="3"/>
      <c r="D76" s="3"/>
      <c r="E76" s="3"/>
    </row>
    <row r="77" spans="2:5" ht="19.5" thickBot="1">
      <c r="B77" s="436" t="s">
        <v>17</v>
      </c>
      <c r="C77" s="5">
        <f>SUM(C63:C75)</f>
        <v>3461053.5</v>
      </c>
      <c r="D77" s="106"/>
      <c r="E77" s="5">
        <f>SUM(E63:E75)</f>
        <v>5631944.19</v>
      </c>
    </row>
    <row r="78" spans="2:5" ht="20.25" thickBot="1" thickTop="1">
      <c r="B78" s="436" t="s">
        <v>183</v>
      </c>
      <c r="C78" s="107">
        <f>SUM(C60-C77)</f>
        <v>2159311.7300000004</v>
      </c>
      <c r="D78" s="108"/>
      <c r="E78" s="107">
        <f>SUM(E60-E77)</f>
        <v>654592.7800000003</v>
      </c>
    </row>
    <row r="79" spans="1:5" ht="19.5" thickTop="1">
      <c r="A79" s="700" t="s">
        <v>29</v>
      </c>
      <c r="B79" s="700"/>
      <c r="C79" s="700"/>
      <c r="D79" s="700"/>
      <c r="E79" s="700"/>
    </row>
    <row r="80" spans="1:5" ht="18.75">
      <c r="A80" s="700" t="s">
        <v>168</v>
      </c>
      <c r="B80" s="700"/>
      <c r="C80" s="700"/>
      <c r="D80" s="700"/>
      <c r="E80" s="700"/>
    </row>
    <row r="81" spans="1:5" ht="18.75">
      <c r="A81" s="700" t="s">
        <v>636</v>
      </c>
      <c r="B81" s="700"/>
      <c r="C81" s="700"/>
      <c r="D81" s="700"/>
      <c r="E81" s="700"/>
    </row>
    <row r="83" spans="3:5" ht="18.75">
      <c r="C83" s="481" t="s">
        <v>157</v>
      </c>
      <c r="D83" s="481"/>
      <c r="E83" s="481" t="s">
        <v>179</v>
      </c>
    </row>
    <row r="84" ht="18.75">
      <c r="A84" s="4" t="s">
        <v>18</v>
      </c>
    </row>
    <row r="85" spans="2:5" ht="18.75">
      <c r="B85" s="2" t="s">
        <v>169</v>
      </c>
      <c r="C85" s="3">
        <v>16652597.66</v>
      </c>
      <c r="D85" s="3"/>
      <c r="E85" s="3">
        <f>C85+E46</f>
        <v>18141247.46</v>
      </c>
    </row>
    <row r="86" spans="2:5" ht="18.75">
      <c r="B86" s="2" t="s">
        <v>170</v>
      </c>
      <c r="C86" s="3">
        <f>195594+1982.63</f>
        <v>197576.63</v>
      </c>
      <c r="D86" s="3"/>
      <c r="E86" s="3">
        <f>C86+E47</f>
        <v>210426.15</v>
      </c>
    </row>
    <row r="87" spans="2:5" ht="18.75">
      <c r="B87" s="2" t="s">
        <v>171</v>
      </c>
      <c r="C87" s="3">
        <v>0</v>
      </c>
      <c r="D87" s="3"/>
      <c r="E87" s="3">
        <f>C87+E48</f>
        <v>0</v>
      </c>
    </row>
    <row r="88" spans="2:5" ht="18.75">
      <c r="B88" s="2" t="s">
        <v>172</v>
      </c>
      <c r="C88" s="3">
        <v>522000</v>
      </c>
      <c r="D88" s="3"/>
      <c r="E88" s="3">
        <f>C88+E49</f>
        <v>5303400</v>
      </c>
    </row>
    <row r="89" spans="2:5" ht="18.75">
      <c r="B89" s="2" t="s">
        <v>390</v>
      </c>
      <c r="C89" s="3">
        <v>0</v>
      </c>
      <c r="D89" s="3"/>
      <c r="E89" s="3">
        <f aca="true" t="shared" si="4" ref="E89:E97">C89+E50</f>
        <v>112.65</v>
      </c>
    </row>
    <row r="90" spans="2:5" ht="18.75">
      <c r="B90" s="2" t="s">
        <v>343</v>
      </c>
      <c r="C90" s="3">
        <v>0</v>
      </c>
      <c r="D90" s="3"/>
      <c r="E90" s="3">
        <f t="shared" si="4"/>
        <v>1815</v>
      </c>
    </row>
    <row r="91" spans="2:5" ht="18.75">
      <c r="B91" s="2" t="s">
        <v>391</v>
      </c>
      <c r="C91" s="3">
        <v>0</v>
      </c>
      <c r="D91" s="3"/>
      <c r="E91" s="3">
        <f t="shared" si="4"/>
        <v>0</v>
      </c>
    </row>
    <row r="92" spans="2:5" ht="18.75">
      <c r="B92" s="2" t="s">
        <v>419</v>
      </c>
      <c r="C92" s="3">
        <v>0</v>
      </c>
      <c r="D92" s="3"/>
      <c r="E92" s="3">
        <f t="shared" si="4"/>
        <v>0</v>
      </c>
    </row>
    <row r="93" spans="2:5" ht="18.75">
      <c r="B93" s="2" t="s">
        <v>605</v>
      </c>
      <c r="C93" s="3">
        <v>0</v>
      </c>
      <c r="D93" s="3"/>
      <c r="E93" s="3">
        <f t="shared" si="4"/>
        <v>1400</v>
      </c>
    </row>
    <row r="94" spans="2:5" ht="18.75">
      <c r="B94" s="2" t="s">
        <v>418</v>
      </c>
      <c r="C94" s="3">
        <v>9960</v>
      </c>
      <c r="D94" s="3"/>
      <c r="E94" s="3">
        <f t="shared" si="4"/>
        <v>9960</v>
      </c>
    </row>
    <row r="95" spans="2:5" ht="18.75">
      <c r="B95" s="2" t="s">
        <v>426</v>
      </c>
      <c r="C95" s="3">
        <v>0</v>
      </c>
      <c r="D95" s="3"/>
      <c r="E95" s="3">
        <f t="shared" si="4"/>
        <v>0</v>
      </c>
    </row>
    <row r="96" spans="2:5" ht="18.75">
      <c r="B96" s="2" t="s">
        <v>424</v>
      </c>
      <c r="C96" s="3">
        <v>0</v>
      </c>
      <c r="D96" s="3"/>
      <c r="E96" s="3">
        <f t="shared" si="4"/>
        <v>310</v>
      </c>
    </row>
    <row r="97" spans="2:5" ht="18.75">
      <c r="B97" s="2" t="s">
        <v>361</v>
      </c>
      <c r="C97" s="3">
        <v>700</v>
      </c>
      <c r="D97" s="3"/>
      <c r="E97" s="3">
        <f t="shared" si="4"/>
        <v>700</v>
      </c>
    </row>
    <row r="98" spans="3:5" ht="18.75">
      <c r="C98" s="3"/>
      <c r="D98" s="3"/>
      <c r="E98" s="3"/>
    </row>
    <row r="99" spans="2:5" ht="19.5" thickBot="1">
      <c r="B99" s="481" t="s">
        <v>17</v>
      </c>
      <c r="C99" s="5">
        <f>SUM(C85:C97)</f>
        <v>17382834.29</v>
      </c>
      <c r="D99" s="105"/>
      <c r="E99" s="5">
        <f>SUM(E85:E97)</f>
        <v>23669371.259999998</v>
      </c>
    </row>
    <row r="100" spans="3:5" ht="19.5" thickTop="1">
      <c r="C100" s="3"/>
      <c r="D100" s="3"/>
      <c r="E100" s="3"/>
    </row>
    <row r="101" spans="1:5" ht="18.75">
      <c r="A101" s="4" t="s">
        <v>30</v>
      </c>
      <c r="C101" s="3"/>
      <c r="D101" s="3"/>
      <c r="E101" s="3"/>
    </row>
    <row r="102" spans="2:5" ht="18.75">
      <c r="B102" s="2" t="s">
        <v>173</v>
      </c>
      <c r="C102" s="3">
        <f>358990.61+228058+270915+27285+159900+25258+353991+87450+70989.34+91000</f>
        <v>1673836.95</v>
      </c>
      <c r="D102" s="3"/>
      <c r="E102" s="3">
        <f aca="true" t="shared" si="5" ref="E102:E108">C102+E63</f>
        <v>4972847.350000001</v>
      </c>
    </row>
    <row r="103" spans="2:5" ht="18.75">
      <c r="B103" s="2" t="s">
        <v>174</v>
      </c>
      <c r="C103" s="3">
        <f>2067.64+16903</f>
        <v>18970.64</v>
      </c>
      <c r="D103" s="3"/>
      <c r="E103" s="3">
        <f t="shared" si="5"/>
        <v>48860.43</v>
      </c>
    </row>
    <row r="104" spans="2:5" ht="18.75">
      <c r="B104" s="2" t="s">
        <v>28</v>
      </c>
      <c r="C104" s="3">
        <v>0</v>
      </c>
      <c r="D104" s="3"/>
      <c r="E104" s="3">
        <f t="shared" si="5"/>
        <v>7704</v>
      </c>
    </row>
    <row r="105" spans="2:5" ht="18.75">
      <c r="B105" s="2" t="s">
        <v>175</v>
      </c>
      <c r="C105" s="3">
        <v>0</v>
      </c>
      <c r="D105" s="3"/>
      <c r="E105" s="3">
        <f t="shared" si="5"/>
        <v>0</v>
      </c>
    </row>
    <row r="106" spans="2:5" ht="18.75">
      <c r="B106" s="2" t="s">
        <v>176</v>
      </c>
      <c r="C106" s="3">
        <v>146000</v>
      </c>
      <c r="D106" s="3"/>
      <c r="E106" s="3">
        <f t="shared" si="5"/>
        <v>146000</v>
      </c>
    </row>
    <row r="107" spans="2:5" ht="18.75">
      <c r="B107" s="2" t="s">
        <v>177</v>
      </c>
      <c r="C107" s="3">
        <v>25960</v>
      </c>
      <c r="D107" s="3"/>
      <c r="E107" s="3">
        <f t="shared" si="5"/>
        <v>204650</v>
      </c>
    </row>
    <row r="108" spans="2:5" ht="18.75">
      <c r="B108" s="2" t="s">
        <v>178</v>
      </c>
      <c r="C108" s="3">
        <v>184440</v>
      </c>
      <c r="D108" s="3"/>
      <c r="E108" s="3">
        <f t="shared" si="5"/>
        <v>2143180</v>
      </c>
    </row>
    <row r="109" spans="2:5" ht="18.75">
      <c r="B109" s="2" t="s">
        <v>452</v>
      </c>
      <c r="C109" s="3">
        <v>646400</v>
      </c>
      <c r="D109" s="3"/>
      <c r="E109" s="3">
        <f>C109+E70</f>
        <v>646400</v>
      </c>
    </row>
    <row r="110" spans="2:5" ht="18.75">
      <c r="B110" s="2" t="s">
        <v>59</v>
      </c>
      <c r="C110" s="3">
        <v>0</v>
      </c>
      <c r="D110" s="3"/>
      <c r="E110" s="3">
        <f>C110+E71</f>
        <v>0</v>
      </c>
    </row>
    <row r="111" spans="2:5" ht="18.75">
      <c r="B111" s="2" t="s">
        <v>14</v>
      </c>
      <c r="C111" s="3">
        <v>0</v>
      </c>
      <c r="D111" s="3"/>
      <c r="E111" s="3">
        <f>C111+E72</f>
        <v>157910</v>
      </c>
    </row>
    <row r="112" spans="2:5" ht="18.75">
      <c r="B112" s="2" t="s">
        <v>535</v>
      </c>
      <c r="C112" s="3">
        <v>0</v>
      </c>
      <c r="D112" s="3"/>
      <c r="E112" s="3">
        <f>C112+E73</f>
        <v>0</v>
      </c>
    </row>
    <row r="113" spans="2:5" ht="18.75">
      <c r="B113" s="2" t="s">
        <v>536</v>
      </c>
      <c r="C113" s="3">
        <v>0</v>
      </c>
      <c r="D113" s="3"/>
      <c r="E113" s="3">
        <f>C113+E74</f>
        <v>0</v>
      </c>
    </row>
    <row r="114" spans="2:5" ht="18.75">
      <c r="B114" s="2" t="s">
        <v>534</v>
      </c>
      <c r="C114" s="3">
        <v>0</v>
      </c>
      <c r="D114" s="3"/>
      <c r="E114" s="3">
        <f>C114+E75</f>
        <v>0</v>
      </c>
    </row>
    <row r="115" spans="2:5" ht="18.75">
      <c r="B115" s="2" t="s">
        <v>622</v>
      </c>
      <c r="C115" s="3">
        <v>530364.33</v>
      </c>
      <c r="D115" s="3"/>
      <c r="E115" s="3">
        <f>+C115</f>
        <v>530364.33</v>
      </c>
    </row>
    <row r="116" spans="2:5" ht="19.5" thickBot="1">
      <c r="B116" s="481" t="s">
        <v>17</v>
      </c>
      <c r="C116" s="5">
        <f>SUM(C102:C115)</f>
        <v>3225971.92</v>
      </c>
      <c r="D116" s="106"/>
      <c r="E116" s="5">
        <f>SUM(E102:E115)</f>
        <v>8857916.11</v>
      </c>
    </row>
    <row r="117" spans="2:5" ht="20.25" thickBot="1" thickTop="1">
      <c r="B117" s="481" t="s">
        <v>183</v>
      </c>
      <c r="C117" s="107">
        <f>SUM(C99-C116)</f>
        <v>14156862.37</v>
      </c>
      <c r="D117" s="108"/>
      <c r="E117" s="107">
        <f>SUM(E99-E116)</f>
        <v>14811455.149999999</v>
      </c>
    </row>
    <row r="118" spans="1:5" ht="19.5" thickTop="1">
      <c r="A118" s="700" t="s">
        <v>29</v>
      </c>
      <c r="B118" s="700"/>
      <c r="C118" s="700"/>
      <c r="D118" s="700"/>
      <c r="E118" s="700"/>
    </row>
    <row r="119" spans="1:5" ht="18.75">
      <c r="A119" s="700" t="s">
        <v>168</v>
      </c>
      <c r="B119" s="700"/>
      <c r="C119" s="700"/>
      <c r="D119" s="700"/>
      <c r="E119" s="700"/>
    </row>
    <row r="120" spans="1:5" ht="18.75">
      <c r="A120" s="700" t="s">
        <v>665</v>
      </c>
      <c r="B120" s="700"/>
      <c r="C120" s="700"/>
      <c r="D120" s="700"/>
      <c r="E120" s="700"/>
    </row>
    <row r="122" spans="3:5" ht="18.75">
      <c r="C122" s="488" t="s">
        <v>157</v>
      </c>
      <c r="D122" s="488"/>
      <c r="E122" s="488" t="s">
        <v>179</v>
      </c>
    </row>
    <row r="123" ht="18.75">
      <c r="A123" s="4" t="s">
        <v>18</v>
      </c>
    </row>
    <row r="124" spans="2:5" ht="18.75">
      <c r="B124" s="2" t="s">
        <v>169</v>
      </c>
      <c r="C124" s="3">
        <v>2151231.93</v>
      </c>
      <c r="D124" s="3"/>
      <c r="E124" s="3">
        <f>C124+E85</f>
        <v>20292479.39</v>
      </c>
    </row>
    <row r="125" spans="2:5" ht="18.75">
      <c r="B125" s="2" t="s">
        <v>170</v>
      </c>
      <c r="C125" s="3">
        <f>69.68+2685+6297.22+2959.24+9795</f>
        <v>21806.14</v>
      </c>
      <c r="D125" s="3"/>
      <c r="E125" s="3">
        <f>C125+E86</f>
        <v>232232.28999999998</v>
      </c>
    </row>
    <row r="126" spans="2:5" ht="18.75">
      <c r="B126" s="2" t="s">
        <v>171</v>
      </c>
      <c r="C126" s="3">
        <v>0</v>
      </c>
      <c r="D126" s="3"/>
      <c r="E126" s="3">
        <f>C126+E87</f>
        <v>0</v>
      </c>
    </row>
    <row r="127" spans="2:5" ht="18.75">
      <c r="B127" s="2" t="s">
        <v>172</v>
      </c>
      <c r="C127" s="3">
        <f>240000+144000+6120</f>
        <v>390120</v>
      </c>
      <c r="D127" s="3"/>
      <c r="E127" s="3">
        <f>C127+E88</f>
        <v>5693520</v>
      </c>
    </row>
    <row r="128" spans="2:5" ht="18.75">
      <c r="B128" s="2" t="s">
        <v>390</v>
      </c>
      <c r="C128" s="3">
        <v>0</v>
      </c>
      <c r="D128" s="3"/>
      <c r="E128" s="3">
        <f aca="true" t="shared" si="6" ref="E128:E136">C128+E89</f>
        <v>112.65</v>
      </c>
    </row>
    <row r="129" spans="2:5" ht="18.75">
      <c r="B129" s="2" t="s">
        <v>343</v>
      </c>
      <c r="C129" s="3">
        <v>0</v>
      </c>
      <c r="D129" s="3"/>
      <c r="E129" s="3">
        <f t="shared" si="6"/>
        <v>1815</v>
      </c>
    </row>
    <row r="130" spans="2:5" ht="18.75">
      <c r="B130" s="2" t="s">
        <v>391</v>
      </c>
      <c r="C130" s="3">
        <v>0</v>
      </c>
      <c r="D130" s="3"/>
      <c r="E130" s="3">
        <f t="shared" si="6"/>
        <v>0</v>
      </c>
    </row>
    <row r="131" spans="2:5" ht="18.75">
      <c r="B131" s="2" t="s">
        <v>419</v>
      </c>
      <c r="C131" s="3">
        <v>0</v>
      </c>
      <c r="D131" s="3"/>
      <c r="E131" s="3">
        <f t="shared" si="6"/>
        <v>0</v>
      </c>
    </row>
    <row r="132" spans="2:5" ht="18.75">
      <c r="B132" s="2" t="s">
        <v>605</v>
      </c>
      <c r="C132" s="3">
        <v>0</v>
      </c>
      <c r="D132" s="3"/>
      <c r="E132" s="3">
        <f t="shared" si="6"/>
        <v>1400</v>
      </c>
    </row>
    <row r="133" spans="2:5" ht="18.75">
      <c r="B133" s="2" t="s">
        <v>418</v>
      </c>
      <c r="C133" s="3">
        <v>0</v>
      </c>
      <c r="D133" s="3"/>
      <c r="E133" s="3">
        <f t="shared" si="6"/>
        <v>9960</v>
      </c>
    </row>
    <row r="134" spans="2:5" ht="18.75">
      <c r="B134" s="2" t="s">
        <v>426</v>
      </c>
      <c r="C134" s="3">
        <v>0</v>
      </c>
      <c r="D134" s="3"/>
      <c r="E134" s="3">
        <f t="shared" si="6"/>
        <v>0</v>
      </c>
    </row>
    <row r="135" spans="2:5" ht="18.75">
      <c r="B135" s="2" t="s">
        <v>424</v>
      </c>
      <c r="C135" s="3">
        <v>0</v>
      </c>
      <c r="D135" s="3"/>
      <c r="E135" s="3">
        <f t="shared" si="6"/>
        <v>310</v>
      </c>
    </row>
    <row r="136" spans="2:5" ht="18.75">
      <c r="B136" s="2" t="s">
        <v>361</v>
      </c>
      <c r="C136" s="3">
        <v>0</v>
      </c>
      <c r="D136" s="3"/>
      <c r="E136" s="3">
        <f t="shared" si="6"/>
        <v>700</v>
      </c>
    </row>
    <row r="137" spans="3:5" ht="18.75">
      <c r="C137" s="3"/>
      <c r="D137" s="3"/>
      <c r="E137" s="3"/>
    </row>
    <row r="138" spans="2:5" ht="19.5" thickBot="1">
      <c r="B138" s="488" t="s">
        <v>17</v>
      </c>
      <c r="C138" s="5">
        <f>SUM(C124:C136)</f>
        <v>2563158.0700000003</v>
      </c>
      <c r="D138" s="105"/>
      <c r="E138" s="5">
        <f>SUM(E124:E136)</f>
        <v>26232529.33</v>
      </c>
    </row>
    <row r="139" spans="3:5" ht="19.5" thickTop="1">
      <c r="C139" s="3"/>
      <c r="D139" s="3"/>
      <c r="E139" s="3"/>
    </row>
    <row r="140" spans="1:5" ht="18.75">
      <c r="A140" s="4" t="s">
        <v>30</v>
      </c>
      <c r="C140" s="3"/>
      <c r="D140" s="3"/>
      <c r="E140" s="3"/>
    </row>
    <row r="141" spans="2:5" ht="18.75">
      <c r="B141" s="2" t="s">
        <v>173</v>
      </c>
      <c r="C141" s="3">
        <f>21732+218720+275527.58+27285+159900+32940+616483.75+143872+76029.56+85730+33700+921000</f>
        <v>2612919.89</v>
      </c>
      <c r="D141" s="3"/>
      <c r="E141" s="3">
        <f>C141+E102</f>
        <v>7585767.24</v>
      </c>
    </row>
    <row r="142" spans="2:5" ht="18.75">
      <c r="B142" s="2" t="s">
        <v>174</v>
      </c>
      <c r="C142" s="3">
        <f>1982.63+156920</f>
        <v>158902.63</v>
      </c>
      <c r="D142" s="3"/>
      <c r="E142" s="3">
        <f>C142+E103</f>
        <v>207763.06</v>
      </c>
    </row>
    <row r="143" spans="2:5" ht="18.75">
      <c r="B143" s="2" t="s">
        <v>28</v>
      </c>
      <c r="C143" s="3">
        <v>0</v>
      </c>
      <c r="D143" s="3"/>
      <c r="E143" s="3">
        <f aca="true" t="shared" si="7" ref="E143:E151">C143+E104</f>
        <v>7704</v>
      </c>
    </row>
    <row r="144" spans="2:5" ht="18.75">
      <c r="B144" s="2" t="s">
        <v>175</v>
      </c>
      <c r="C144" s="3">
        <v>0</v>
      </c>
      <c r="D144" s="3"/>
      <c r="E144" s="3">
        <f t="shared" si="7"/>
        <v>0</v>
      </c>
    </row>
    <row r="145" spans="2:5" ht="18.75">
      <c r="B145" s="2" t="s">
        <v>176</v>
      </c>
      <c r="C145" s="3">
        <f>145300+30500</f>
        <v>175800</v>
      </c>
      <c r="D145" s="3"/>
      <c r="E145" s="3">
        <f t="shared" si="7"/>
        <v>321800</v>
      </c>
    </row>
    <row r="146" spans="2:5" ht="18.75">
      <c r="B146" s="2" t="s">
        <v>177</v>
      </c>
      <c r="C146" s="3">
        <v>0</v>
      </c>
      <c r="D146" s="3"/>
      <c r="E146" s="3">
        <f t="shared" si="7"/>
        <v>204650</v>
      </c>
    </row>
    <row r="147" spans="2:5" ht="18.75">
      <c r="B147" s="2" t="s">
        <v>178</v>
      </c>
      <c r="C147" s="3">
        <v>97440</v>
      </c>
      <c r="D147" s="3"/>
      <c r="E147" s="3">
        <f t="shared" si="7"/>
        <v>2240620</v>
      </c>
    </row>
    <row r="148" spans="2:5" ht="18.75">
      <c r="B148" s="2" t="s">
        <v>452</v>
      </c>
      <c r="C148" s="3">
        <v>701600</v>
      </c>
      <c r="D148" s="3"/>
      <c r="E148" s="3">
        <f t="shared" si="7"/>
        <v>1348000</v>
      </c>
    </row>
    <row r="149" spans="2:5" ht="18.75">
      <c r="B149" s="2" t="s">
        <v>59</v>
      </c>
      <c r="C149" s="3">
        <v>0</v>
      </c>
      <c r="D149" s="3"/>
      <c r="E149" s="3">
        <f t="shared" si="7"/>
        <v>0</v>
      </c>
    </row>
    <row r="150" spans="2:5" ht="18.75">
      <c r="B150" s="2" t="s">
        <v>14</v>
      </c>
      <c r="C150" s="3">
        <v>0</v>
      </c>
      <c r="D150" s="3"/>
      <c r="E150" s="3">
        <f>C150+E111</f>
        <v>157910</v>
      </c>
    </row>
    <row r="151" spans="2:5" ht="18.75">
      <c r="B151" s="2" t="s">
        <v>535</v>
      </c>
      <c r="C151" s="3">
        <v>0</v>
      </c>
      <c r="D151" s="3"/>
      <c r="E151" s="3">
        <f t="shared" si="7"/>
        <v>0</v>
      </c>
    </row>
    <row r="152" spans="2:5" ht="18.75">
      <c r="B152" s="2" t="s">
        <v>536</v>
      </c>
      <c r="C152" s="3">
        <v>0</v>
      </c>
      <c r="D152" s="3"/>
      <c r="E152" s="3">
        <f>C152+E113</f>
        <v>0</v>
      </c>
    </row>
    <row r="153" spans="2:5" ht="18.75">
      <c r="B153" s="2" t="s">
        <v>534</v>
      </c>
      <c r="C153" s="3">
        <v>0</v>
      </c>
      <c r="D153" s="3"/>
      <c r="E153" s="3">
        <f>C153+E114</f>
        <v>0</v>
      </c>
    </row>
    <row r="154" spans="2:5" ht="18.75">
      <c r="B154" s="2" t="s">
        <v>622</v>
      </c>
      <c r="C154" s="3">
        <v>0</v>
      </c>
      <c r="D154" s="3"/>
      <c r="E154" s="3">
        <f>+C154+E115</f>
        <v>530364.33</v>
      </c>
    </row>
    <row r="155" spans="2:6" ht="19.5" thickBot="1">
      <c r="B155" s="488" t="s">
        <v>17</v>
      </c>
      <c r="C155" s="5">
        <f>SUM(C141:C154)</f>
        <v>3746662.52</v>
      </c>
      <c r="D155" s="106"/>
      <c r="E155" s="5">
        <f>SUM(E141:E154)</f>
        <v>12604578.63</v>
      </c>
      <c r="F155" s="150">
        <f>12604578.63-E155</f>
        <v>0</v>
      </c>
    </row>
    <row r="156" spans="2:5" ht="20.25" thickBot="1" thickTop="1">
      <c r="B156" s="488" t="s">
        <v>183</v>
      </c>
      <c r="C156" s="107">
        <f>SUM(C138-C155)</f>
        <v>-1183504.4499999997</v>
      </c>
      <c r="D156" s="108"/>
      <c r="E156" s="107">
        <f>SUM(E138-E155)</f>
        <v>13627950.699999997</v>
      </c>
    </row>
    <row r="157" spans="1:5" ht="19.5" thickTop="1">
      <c r="A157" s="700" t="s">
        <v>29</v>
      </c>
      <c r="B157" s="700"/>
      <c r="C157" s="700"/>
      <c r="D157" s="700"/>
      <c r="E157" s="700"/>
    </row>
    <row r="158" spans="1:5" ht="18.75">
      <c r="A158" s="700" t="s">
        <v>168</v>
      </c>
      <c r="B158" s="700"/>
      <c r="C158" s="700"/>
      <c r="D158" s="700"/>
      <c r="E158" s="700"/>
    </row>
    <row r="159" spans="1:5" ht="18.75">
      <c r="A159" s="700" t="s">
        <v>698</v>
      </c>
      <c r="B159" s="700"/>
      <c r="C159" s="700"/>
      <c r="D159" s="700"/>
      <c r="E159" s="700"/>
    </row>
    <row r="161" spans="3:5" ht="18.75">
      <c r="C161" s="539" t="s">
        <v>157</v>
      </c>
      <c r="D161" s="539"/>
      <c r="E161" s="539" t="s">
        <v>179</v>
      </c>
    </row>
    <row r="162" ht="18.75">
      <c r="A162" s="4" t="s">
        <v>18</v>
      </c>
    </row>
    <row r="163" spans="2:5" ht="18.75">
      <c r="B163" s="2" t="s">
        <v>169</v>
      </c>
      <c r="C163" s="3">
        <v>4780658.29</v>
      </c>
      <c r="D163" s="3"/>
      <c r="E163" s="3">
        <f>C163+E124</f>
        <v>25073137.68</v>
      </c>
    </row>
    <row r="164" spans="2:5" ht="18.75">
      <c r="B164" s="2" t="s">
        <v>170</v>
      </c>
      <c r="C164" s="3">
        <f>60.9+247768+22510.5+9942+3887.22+9249</f>
        <v>293417.62</v>
      </c>
      <c r="D164" s="3"/>
      <c r="E164" s="3">
        <f>C164+E125</f>
        <v>525649.9099999999</v>
      </c>
    </row>
    <row r="165" spans="2:5" ht="18.75">
      <c r="B165" s="2" t="s">
        <v>171</v>
      </c>
      <c r="C165" s="3">
        <v>0</v>
      </c>
      <c r="D165" s="3"/>
      <c r="E165" s="3">
        <f>C165+E126</f>
        <v>0</v>
      </c>
    </row>
    <row r="166" spans="2:5" ht="18.75">
      <c r="B166" s="2" t="s">
        <v>172</v>
      </c>
      <c r="C166" s="3">
        <f>4754400+522000+60000+36000+1800</f>
        <v>5374200</v>
      </c>
      <c r="D166" s="3"/>
      <c r="E166" s="3">
        <f>C166+E127</f>
        <v>11067720</v>
      </c>
    </row>
    <row r="167" spans="2:5" ht="18.75">
      <c r="B167" s="2" t="s">
        <v>390</v>
      </c>
      <c r="C167" s="3">
        <v>69.15</v>
      </c>
      <c r="D167" s="3"/>
      <c r="E167" s="3">
        <f aca="true" t="shared" si="8" ref="E167:E175">C167+E128</f>
        <v>181.8</v>
      </c>
    </row>
    <row r="168" spans="2:5" ht="18.75">
      <c r="B168" s="2" t="s">
        <v>343</v>
      </c>
      <c r="C168" s="3">
        <v>0</v>
      </c>
      <c r="D168" s="3"/>
      <c r="E168" s="3">
        <f t="shared" si="8"/>
        <v>1815</v>
      </c>
    </row>
    <row r="169" spans="2:5" ht="18.75">
      <c r="B169" s="2" t="s">
        <v>391</v>
      </c>
      <c r="C169" s="3">
        <v>0</v>
      </c>
      <c r="D169" s="3"/>
      <c r="E169" s="3">
        <f t="shared" si="8"/>
        <v>0</v>
      </c>
    </row>
    <row r="170" spans="2:5" ht="18.75">
      <c r="B170" s="2" t="s">
        <v>419</v>
      </c>
      <c r="C170" s="3">
        <v>0</v>
      </c>
      <c r="D170" s="3"/>
      <c r="E170" s="3">
        <f t="shared" si="8"/>
        <v>0</v>
      </c>
    </row>
    <row r="171" spans="2:5" ht="18.75">
      <c r="B171" s="2" t="s">
        <v>605</v>
      </c>
      <c r="C171" s="3">
        <v>0</v>
      </c>
      <c r="D171" s="3"/>
      <c r="E171" s="3">
        <f t="shared" si="8"/>
        <v>1400</v>
      </c>
    </row>
    <row r="172" spans="2:5" ht="18.75">
      <c r="B172" s="2" t="s">
        <v>418</v>
      </c>
      <c r="C172" s="3">
        <v>0</v>
      </c>
      <c r="D172" s="3"/>
      <c r="E172" s="3">
        <f t="shared" si="8"/>
        <v>9960</v>
      </c>
    </row>
    <row r="173" spans="2:5" ht="18.75">
      <c r="B173" s="2" t="s">
        <v>426</v>
      </c>
      <c r="C173" s="3">
        <v>0</v>
      </c>
      <c r="D173" s="3"/>
      <c r="E173" s="3">
        <f t="shared" si="8"/>
        <v>0</v>
      </c>
    </row>
    <row r="174" spans="2:5" ht="18.75">
      <c r="B174" s="2" t="s">
        <v>424</v>
      </c>
      <c r="C174" s="3">
        <v>0</v>
      </c>
      <c r="D174" s="3"/>
      <c r="E174" s="3">
        <f t="shared" si="8"/>
        <v>310</v>
      </c>
    </row>
    <row r="175" spans="2:5" ht="18.75">
      <c r="B175" s="2" t="s">
        <v>361</v>
      </c>
      <c r="C175" s="3">
        <v>0</v>
      </c>
      <c r="D175" s="3"/>
      <c r="E175" s="3">
        <f t="shared" si="8"/>
        <v>700</v>
      </c>
    </row>
    <row r="176" spans="2:5" ht="18.75">
      <c r="B176" s="2" t="s">
        <v>678</v>
      </c>
      <c r="C176" s="3">
        <v>149.33</v>
      </c>
      <c r="D176" s="3"/>
      <c r="E176" s="3">
        <f>+C176</f>
        <v>149.33</v>
      </c>
    </row>
    <row r="177" spans="2:5" ht="19.5" thickBot="1">
      <c r="B177" s="539" t="s">
        <v>17</v>
      </c>
      <c r="C177" s="5">
        <f>SUM(C163:C176)</f>
        <v>10448494.39</v>
      </c>
      <c r="D177" s="105"/>
      <c r="E177" s="5">
        <f>SUM(E163:E176)</f>
        <v>36681023.72</v>
      </c>
    </row>
    <row r="178" spans="3:5" ht="19.5" thickTop="1">
      <c r="C178" s="3"/>
      <c r="D178" s="3"/>
      <c r="E178" s="3"/>
    </row>
    <row r="179" spans="1:5" ht="18.75">
      <c r="A179" s="4" t="s">
        <v>30</v>
      </c>
      <c r="C179" s="3"/>
      <c r="D179" s="3"/>
      <c r="E179" s="3"/>
    </row>
    <row r="180" spans="2:5" ht="18.75">
      <c r="B180" s="2" t="s">
        <v>173</v>
      </c>
      <c r="C180" s="3">
        <f>14995+218720+640597+27285+148970+40300+101827.5+71820+73953.33+24763</f>
        <v>1363230.83</v>
      </c>
      <c r="D180" s="3"/>
      <c r="E180" s="3">
        <f>C180+E141</f>
        <v>8948998.07</v>
      </c>
    </row>
    <row r="181" spans="2:5" ht="18.75">
      <c r="B181" s="2" t="s">
        <v>174</v>
      </c>
      <c r="C181" s="3">
        <f>2959.24+148147+22760.5+9795+9942</f>
        <v>193603.74</v>
      </c>
      <c r="D181" s="3"/>
      <c r="E181" s="3">
        <f>C181+E142</f>
        <v>401366.8</v>
      </c>
    </row>
    <row r="182" spans="2:5" ht="18.75">
      <c r="B182" s="2" t="s">
        <v>28</v>
      </c>
      <c r="C182" s="3">
        <v>115000</v>
      </c>
      <c r="D182" s="3"/>
      <c r="E182" s="3">
        <f aca="true" t="shared" si="9" ref="E182:E188">C182+E143</f>
        <v>122704</v>
      </c>
    </row>
    <row r="183" spans="2:5" ht="18.75">
      <c r="B183" s="2" t="s">
        <v>175</v>
      </c>
      <c r="C183" s="3">
        <v>0</v>
      </c>
      <c r="D183" s="3"/>
      <c r="E183" s="3">
        <f t="shared" si="9"/>
        <v>0</v>
      </c>
    </row>
    <row r="184" spans="2:6" ht="18.75">
      <c r="B184" s="2" t="s">
        <v>176</v>
      </c>
      <c r="C184" s="3">
        <f>143500+30000+1800</f>
        <v>175300</v>
      </c>
      <c r="D184" s="3"/>
      <c r="E184" s="3">
        <f t="shared" si="9"/>
        <v>497100</v>
      </c>
      <c r="F184" s="150">
        <f>497100-E184</f>
        <v>0</v>
      </c>
    </row>
    <row r="185" spans="2:5" ht="18.75">
      <c r="B185" s="2" t="s">
        <v>177</v>
      </c>
      <c r="C185" s="3">
        <v>0</v>
      </c>
      <c r="D185" s="3"/>
      <c r="E185" s="3">
        <f t="shared" si="9"/>
        <v>204650</v>
      </c>
    </row>
    <row r="186" spans="2:5" ht="18.75">
      <c r="B186" s="2" t="s">
        <v>178</v>
      </c>
      <c r="C186" s="3">
        <v>96000</v>
      </c>
      <c r="D186" s="3"/>
      <c r="E186" s="3">
        <f t="shared" si="9"/>
        <v>2336620</v>
      </c>
    </row>
    <row r="187" spans="2:5" ht="18.75">
      <c r="B187" s="2" t="s">
        <v>452</v>
      </c>
      <c r="C187" s="3">
        <v>700200</v>
      </c>
      <c r="D187" s="3"/>
      <c r="E187" s="3">
        <f t="shared" si="9"/>
        <v>2048200</v>
      </c>
    </row>
    <row r="188" spans="2:5" ht="18.75">
      <c r="B188" s="2" t="s">
        <v>59</v>
      </c>
      <c r="C188" s="3">
        <v>0</v>
      </c>
      <c r="D188" s="3"/>
      <c r="E188" s="3">
        <f t="shared" si="9"/>
        <v>0</v>
      </c>
    </row>
    <row r="189" spans="2:5" ht="18.75">
      <c r="B189" s="2" t="s">
        <v>14</v>
      </c>
      <c r="C189" s="3">
        <v>252700</v>
      </c>
      <c r="D189" s="3"/>
      <c r="E189" s="3">
        <f>C189+E150</f>
        <v>410610</v>
      </c>
    </row>
    <row r="190" spans="2:5" ht="18.75">
      <c r="B190" s="2" t="s">
        <v>535</v>
      </c>
      <c r="C190" s="3">
        <v>0</v>
      </c>
      <c r="D190" s="3"/>
      <c r="E190" s="3">
        <f>C190+E151</f>
        <v>0</v>
      </c>
    </row>
    <row r="191" spans="2:5" ht="18.75">
      <c r="B191" s="2" t="s">
        <v>536</v>
      </c>
      <c r="C191" s="3">
        <v>0</v>
      </c>
      <c r="D191" s="3"/>
      <c r="E191" s="3">
        <f>C191+E152</f>
        <v>0</v>
      </c>
    </row>
    <row r="192" spans="2:5" ht="18.75">
      <c r="B192" s="2" t="s">
        <v>534</v>
      </c>
      <c r="C192" s="3">
        <v>0</v>
      </c>
      <c r="D192" s="3"/>
      <c r="E192" s="3">
        <f>C192+E153</f>
        <v>0</v>
      </c>
    </row>
    <row r="193" spans="2:5" ht="18.75">
      <c r="B193" s="2" t="s">
        <v>622</v>
      </c>
      <c r="C193" s="3">
        <v>0</v>
      </c>
      <c r="D193" s="3"/>
      <c r="E193" s="3">
        <f>+C193+E154</f>
        <v>530364.33</v>
      </c>
    </row>
    <row r="194" spans="2:5" ht="19.5" thickBot="1">
      <c r="B194" s="539" t="s">
        <v>17</v>
      </c>
      <c r="C194" s="5">
        <f>SUM(C180:C193)</f>
        <v>2896034.5700000003</v>
      </c>
      <c r="D194" s="106"/>
      <c r="E194" s="5">
        <f>SUM(E180:E193)</f>
        <v>15500613.200000001</v>
      </c>
    </row>
    <row r="195" spans="2:5" ht="20.25" thickBot="1" thickTop="1">
      <c r="B195" s="539" t="s">
        <v>183</v>
      </c>
      <c r="C195" s="107">
        <f>SUM(C177-C194)</f>
        <v>7552459.82</v>
      </c>
      <c r="D195" s="108"/>
      <c r="E195" s="107">
        <f>SUM(E177-E194)</f>
        <v>21180410.519999996</v>
      </c>
    </row>
    <row r="196" spans="1:5" ht="19.5" thickTop="1">
      <c r="A196" s="700" t="s">
        <v>29</v>
      </c>
      <c r="B196" s="700"/>
      <c r="C196" s="700"/>
      <c r="D196" s="700"/>
      <c r="E196" s="700"/>
    </row>
    <row r="197" spans="1:5" ht="18.75">
      <c r="A197" s="700" t="s">
        <v>168</v>
      </c>
      <c r="B197" s="700"/>
      <c r="C197" s="700"/>
      <c r="D197" s="700"/>
      <c r="E197" s="700"/>
    </row>
    <row r="198" spans="1:5" ht="18.75">
      <c r="A198" s="700" t="s">
        <v>737</v>
      </c>
      <c r="B198" s="700"/>
      <c r="C198" s="700"/>
      <c r="D198" s="700"/>
      <c r="E198" s="700"/>
    </row>
    <row r="200" spans="3:5" ht="18.75">
      <c r="C200" s="567" t="s">
        <v>157</v>
      </c>
      <c r="D200" s="567"/>
      <c r="E200" s="567" t="s">
        <v>179</v>
      </c>
    </row>
    <row r="201" ht="18.75">
      <c r="A201" s="4" t="s">
        <v>18</v>
      </c>
    </row>
    <row r="202" spans="2:6" ht="18.75">
      <c r="B202" s="2" t="s">
        <v>169</v>
      </c>
      <c r="C202" s="3">
        <f>222522.23+96162</f>
        <v>318684.23</v>
      </c>
      <c r="D202" s="3"/>
      <c r="E202" s="3">
        <f>C202+E163</f>
        <v>25391821.91</v>
      </c>
      <c r="F202" s="150">
        <f>222522.23+96162</f>
        <v>318684.23</v>
      </c>
    </row>
    <row r="203" spans="2:5" ht="18.75">
      <c r="B203" s="2" t="s">
        <v>170</v>
      </c>
      <c r="C203" s="3">
        <f>193.48+102800+890+34804.24+9606</f>
        <v>148293.72</v>
      </c>
      <c r="D203" s="3"/>
      <c r="E203" s="3">
        <f>C203+E164</f>
        <v>673943.6299999999</v>
      </c>
    </row>
    <row r="204" spans="2:5" ht="18.75">
      <c r="B204" s="2" t="s">
        <v>171</v>
      </c>
      <c r="C204" s="3">
        <v>0</v>
      </c>
      <c r="D204" s="3"/>
      <c r="E204" s="3">
        <f>C204+E165</f>
        <v>0</v>
      </c>
    </row>
    <row r="205" spans="2:5" ht="18.75">
      <c r="B205" s="2" t="s">
        <v>172</v>
      </c>
      <c r="C205" s="3">
        <f>150000+36000+1800</f>
        <v>187800</v>
      </c>
      <c r="D205" s="3"/>
      <c r="E205" s="3">
        <f>C205+E166</f>
        <v>11255520</v>
      </c>
    </row>
    <row r="206" spans="2:5" ht="18.75">
      <c r="B206" s="2" t="s">
        <v>390</v>
      </c>
      <c r="C206" s="3">
        <v>0</v>
      </c>
      <c r="D206" s="3"/>
      <c r="E206" s="3">
        <f aca="true" t="shared" si="10" ref="E206:E214">C206+E167</f>
        <v>181.8</v>
      </c>
    </row>
    <row r="207" spans="2:5" ht="18.75">
      <c r="B207" s="2" t="s">
        <v>343</v>
      </c>
      <c r="C207" s="3">
        <v>0</v>
      </c>
      <c r="D207" s="3"/>
      <c r="E207" s="3">
        <f t="shared" si="10"/>
        <v>1815</v>
      </c>
    </row>
    <row r="208" spans="2:5" ht="18.75">
      <c r="B208" s="2" t="s">
        <v>391</v>
      </c>
      <c r="C208" s="3">
        <v>0</v>
      </c>
      <c r="D208" s="3"/>
      <c r="E208" s="3">
        <f t="shared" si="10"/>
        <v>0</v>
      </c>
    </row>
    <row r="209" spans="2:5" ht="18.75">
      <c r="B209" s="2" t="s">
        <v>419</v>
      </c>
      <c r="C209" s="3">
        <v>0</v>
      </c>
      <c r="D209" s="3"/>
      <c r="E209" s="3">
        <f t="shared" si="10"/>
        <v>0</v>
      </c>
    </row>
    <row r="210" spans="2:5" ht="18.75">
      <c r="B210" s="2" t="s">
        <v>605</v>
      </c>
      <c r="C210" s="3">
        <v>0</v>
      </c>
      <c r="D210" s="3"/>
      <c r="E210" s="3">
        <f t="shared" si="10"/>
        <v>1400</v>
      </c>
    </row>
    <row r="211" spans="2:5" ht="18.75">
      <c r="B211" s="2" t="s">
        <v>418</v>
      </c>
      <c r="C211" s="3">
        <v>0</v>
      </c>
      <c r="D211" s="3"/>
      <c r="E211" s="3">
        <f t="shared" si="10"/>
        <v>9960</v>
      </c>
    </row>
    <row r="212" spans="2:5" ht="18.75">
      <c r="B212" s="2" t="s">
        <v>426</v>
      </c>
      <c r="C212" s="3">
        <v>0</v>
      </c>
      <c r="D212" s="3"/>
      <c r="E212" s="3">
        <f t="shared" si="10"/>
        <v>0</v>
      </c>
    </row>
    <row r="213" spans="2:5" ht="18.75">
      <c r="B213" s="2" t="s">
        <v>424</v>
      </c>
      <c r="C213" s="3">
        <v>0</v>
      </c>
      <c r="D213" s="3"/>
      <c r="E213" s="3">
        <f t="shared" si="10"/>
        <v>310</v>
      </c>
    </row>
    <row r="214" spans="2:5" ht="18.75">
      <c r="B214" s="2" t="s">
        <v>361</v>
      </c>
      <c r="C214" s="3">
        <v>0</v>
      </c>
      <c r="D214" s="3"/>
      <c r="E214" s="3">
        <f t="shared" si="10"/>
        <v>700</v>
      </c>
    </row>
    <row r="215" spans="2:5" ht="18.75">
      <c r="B215" s="2" t="s">
        <v>678</v>
      </c>
      <c r="C215" s="3">
        <v>0</v>
      </c>
      <c r="D215" s="3"/>
      <c r="E215" s="3">
        <f>C215+E176</f>
        <v>149.33</v>
      </c>
    </row>
    <row r="216" spans="2:5" ht="18.75">
      <c r="B216" s="2" t="s">
        <v>313</v>
      </c>
      <c r="C216" s="3">
        <v>0.06</v>
      </c>
      <c r="D216" s="3"/>
      <c r="E216" s="3">
        <f>+C216</f>
        <v>0.06</v>
      </c>
    </row>
    <row r="217" spans="2:6" ht="19.5" thickBot="1">
      <c r="B217" s="567" t="s">
        <v>17</v>
      </c>
      <c r="C217" s="5">
        <f>SUM(C202:C216)</f>
        <v>654778.01</v>
      </c>
      <c r="D217" s="105"/>
      <c r="E217" s="5">
        <f>SUM(E202:E216)</f>
        <v>37335801.73</v>
      </c>
      <c r="F217" s="150">
        <f>+'รับ-จ่ายเงินสด'!E517</f>
        <v>654778.01</v>
      </c>
    </row>
    <row r="218" spans="3:5" ht="19.5" thickTop="1">
      <c r="C218" s="3"/>
      <c r="D218" s="3"/>
      <c r="E218" s="3"/>
    </row>
    <row r="219" spans="1:5" ht="18.75">
      <c r="A219" s="4" t="s">
        <v>30</v>
      </c>
      <c r="C219" s="3"/>
      <c r="D219" s="3"/>
      <c r="E219" s="3"/>
    </row>
    <row r="220" spans="2:5" ht="18.75">
      <c r="B220" s="2" t="s">
        <v>173</v>
      </c>
      <c r="C220" s="3">
        <f>14449+218720+301499+27285+156123+27600+172431.81+172033+185890+20550+240000</f>
        <v>1536580.81</v>
      </c>
      <c r="D220" s="3"/>
      <c r="E220" s="3">
        <f aca="true" t="shared" si="11" ref="E220:E229">C220+E180</f>
        <v>10485578.88</v>
      </c>
    </row>
    <row r="221" spans="2:5" ht="18.75">
      <c r="B221" s="2" t="s">
        <v>174</v>
      </c>
      <c r="C221" s="3">
        <f>3887.22+9249</f>
        <v>13136.22</v>
      </c>
      <c r="D221" s="3"/>
      <c r="E221" s="3">
        <f t="shared" si="11"/>
        <v>414503.01999999996</v>
      </c>
    </row>
    <row r="222" spans="2:5" ht="18.75">
      <c r="B222" s="2" t="s">
        <v>28</v>
      </c>
      <c r="C222" s="3">
        <v>345800</v>
      </c>
      <c r="D222" s="3"/>
      <c r="E222" s="3">
        <f t="shared" si="11"/>
        <v>468504</v>
      </c>
    </row>
    <row r="223" spans="2:5" ht="18.75">
      <c r="B223" s="2" t="s">
        <v>175</v>
      </c>
      <c r="C223" s="3">
        <v>0</v>
      </c>
      <c r="D223" s="3"/>
      <c r="E223" s="3">
        <f t="shared" si="11"/>
        <v>0</v>
      </c>
    </row>
    <row r="224" spans="2:5" ht="18.75">
      <c r="B224" s="2" t="s">
        <v>176</v>
      </c>
      <c r="C224" s="3">
        <f>140000+30000+1800</f>
        <v>171800</v>
      </c>
      <c r="D224" s="3"/>
      <c r="E224" s="3">
        <f t="shared" si="11"/>
        <v>668900</v>
      </c>
    </row>
    <row r="225" spans="2:5" ht="18.75">
      <c r="B225" s="2" t="s">
        <v>177</v>
      </c>
      <c r="C225" s="3">
        <v>15640</v>
      </c>
      <c r="D225" s="3"/>
      <c r="E225" s="3">
        <f t="shared" si="11"/>
        <v>220290</v>
      </c>
    </row>
    <row r="226" spans="2:5" ht="18.75">
      <c r="B226" s="2" t="s">
        <v>178</v>
      </c>
      <c r="C226" s="3">
        <v>96000</v>
      </c>
      <c r="D226" s="3"/>
      <c r="E226" s="3">
        <f t="shared" si="11"/>
        <v>2432620</v>
      </c>
    </row>
    <row r="227" spans="2:5" ht="18.75">
      <c r="B227" s="2" t="s">
        <v>452</v>
      </c>
      <c r="C227" s="3">
        <v>699100</v>
      </c>
      <c r="D227" s="3"/>
      <c r="E227" s="3">
        <f t="shared" si="11"/>
        <v>2747300</v>
      </c>
    </row>
    <row r="228" spans="2:5" ht="18.75">
      <c r="B228" s="2" t="s">
        <v>59</v>
      </c>
      <c r="C228" s="3">
        <v>0</v>
      </c>
      <c r="D228" s="3"/>
      <c r="E228" s="3">
        <f t="shared" si="11"/>
        <v>0</v>
      </c>
    </row>
    <row r="229" spans="2:5" ht="18.75">
      <c r="B229" s="2" t="s">
        <v>14</v>
      </c>
      <c r="C229" s="3">
        <v>3166900</v>
      </c>
      <c r="D229" s="3"/>
      <c r="E229" s="3">
        <f t="shared" si="11"/>
        <v>3577510</v>
      </c>
    </row>
    <row r="230" spans="2:5" ht="18.75">
      <c r="B230" s="2" t="s">
        <v>738</v>
      </c>
      <c r="C230" s="3">
        <v>93000</v>
      </c>
      <c r="D230" s="3"/>
      <c r="E230" s="3">
        <f>C230+E190</f>
        <v>93000</v>
      </c>
    </row>
    <row r="231" spans="2:5" ht="18.75">
      <c r="B231" s="2" t="s">
        <v>739</v>
      </c>
      <c r="C231" s="3">
        <v>8000</v>
      </c>
      <c r="D231" s="3"/>
      <c r="E231" s="3">
        <f>C231+E191</f>
        <v>8000</v>
      </c>
    </row>
    <row r="232" spans="2:5" ht="18.75">
      <c r="B232" s="2" t="s">
        <v>534</v>
      </c>
      <c r="C232" s="3">
        <v>0</v>
      </c>
      <c r="D232" s="3"/>
      <c r="E232" s="3">
        <f>C232+E192</f>
        <v>0</v>
      </c>
    </row>
    <row r="233" spans="2:5" ht="18.75">
      <c r="B233" s="2" t="s">
        <v>622</v>
      </c>
      <c r="C233" s="3">
        <v>0</v>
      </c>
      <c r="D233" s="3"/>
      <c r="E233" s="3">
        <f>+C233+E193</f>
        <v>530364.33</v>
      </c>
    </row>
    <row r="234" spans="2:6" ht="19.5" thickBot="1">
      <c r="B234" s="567" t="s">
        <v>17</v>
      </c>
      <c r="C234" s="5">
        <f>SUM(C220:C233)</f>
        <v>6145957.03</v>
      </c>
      <c r="D234" s="106"/>
      <c r="E234" s="5">
        <f>SUM(E220:E233)</f>
        <v>21646570.229999997</v>
      </c>
      <c r="F234" s="150">
        <f>+'รับ-จ่ายเงินสด'!E560</f>
        <v>6145957.029999999</v>
      </c>
    </row>
    <row r="235" spans="2:5" ht="20.25" thickBot="1" thickTop="1">
      <c r="B235" s="567" t="s">
        <v>183</v>
      </c>
      <c r="C235" s="107">
        <f>SUM(C217-C234)</f>
        <v>-5491179.0200000005</v>
      </c>
      <c r="D235" s="108"/>
      <c r="E235" s="107">
        <f>SUM(E217-E234)</f>
        <v>15689231.5</v>
      </c>
    </row>
    <row r="236" ht="19.5" thickTop="1"/>
    <row r="237" spans="3:5" ht="18.75">
      <c r="C237" s="113">
        <f>+'รับ-จ่ายเงินสด'!E563</f>
        <v>-5491179.02</v>
      </c>
      <c r="E237" s="113">
        <f>+'รับ-จ่ายเงินสด'!B563</f>
        <v>15689231.500000007</v>
      </c>
    </row>
    <row r="238" spans="3:5" ht="18.75">
      <c r="C238" s="113">
        <f>+C237-C235</f>
        <v>0</v>
      </c>
      <c r="E238" s="113">
        <f>+E237-E235</f>
        <v>0</v>
      </c>
    </row>
  </sheetData>
  <sheetProtection/>
  <mergeCells count="18">
    <mergeCell ref="A2:E2"/>
    <mergeCell ref="A3:E3"/>
    <mergeCell ref="A120:E120"/>
    <mergeCell ref="A1:E1"/>
    <mergeCell ref="A40:E40"/>
    <mergeCell ref="A41:E41"/>
    <mergeCell ref="A118:E118"/>
    <mergeCell ref="A119:E119"/>
    <mergeCell ref="A81:E81"/>
    <mergeCell ref="A42:E42"/>
    <mergeCell ref="A79:E79"/>
    <mergeCell ref="A80:E80"/>
    <mergeCell ref="A196:E196"/>
    <mergeCell ref="A197:E197"/>
    <mergeCell ref="A198:E198"/>
    <mergeCell ref="A157:E157"/>
    <mergeCell ref="A158:E158"/>
    <mergeCell ref="A159:E159"/>
  </mergeCells>
  <printOptions/>
  <pageMargins left="0.7480314960629921" right="0.7480314960629921" top="0.7480314960629921" bottom="0.5118110236220472" header="0.5118110236220472" footer="0.5118110236220472"/>
  <pageSetup horizontalDpi="600" verticalDpi="600" orientation="portrait" paperSize="9" r:id="rId1"/>
  <rowBreaks count="5" manualBreakCount="5">
    <brk id="39" max="4" man="1"/>
    <brk id="78" max="4" man="1"/>
    <brk id="117" max="4" man="1"/>
    <brk id="156" max="4" man="1"/>
    <brk id="195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2"/>
  <sheetViews>
    <sheetView view="pageBreakPreview" zoomScale="110" zoomScaleSheetLayoutView="110" zoomScalePageLayoutView="0" workbookViewId="0" topLeftCell="A474">
      <selection activeCell="C572" sqref="C572"/>
    </sheetView>
  </sheetViews>
  <sheetFormatPr defaultColWidth="9.140625" defaultRowHeight="12.75"/>
  <cols>
    <col min="1" max="1" width="13.7109375" style="619" customWidth="1"/>
    <col min="2" max="2" width="15.00390625" style="619" customWidth="1"/>
    <col min="3" max="3" width="34.7109375" style="619" customWidth="1"/>
    <col min="4" max="4" width="11.140625" style="619" customWidth="1"/>
    <col min="5" max="5" width="15.421875" style="619" customWidth="1"/>
    <col min="6" max="6" width="15.57421875" style="6" customWidth="1"/>
    <col min="7" max="7" width="15.00390625" style="151" customWidth="1"/>
    <col min="8" max="8" width="16.140625" style="151" customWidth="1"/>
    <col min="9" max="9" width="14.57421875" style="6" customWidth="1"/>
    <col min="10" max="16384" width="9.140625" style="6" customWidth="1"/>
  </cols>
  <sheetData>
    <row r="1" spans="1:6" ht="15.75">
      <c r="A1" s="629" t="s">
        <v>29</v>
      </c>
      <c r="D1" s="672" t="s">
        <v>158</v>
      </c>
      <c r="E1" s="648" t="s">
        <v>601</v>
      </c>
      <c r="F1" s="114"/>
    </row>
    <row r="2" spans="1:6" ht="15.75">
      <c r="A2" s="750" t="s">
        <v>154</v>
      </c>
      <c r="B2" s="750"/>
      <c r="C2" s="750"/>
      <c r="D2" s="750"/>
      <c r="E2" s="750"/>
      <c r="F2" s="543"/>
    </row>
    <row r="3" spans="5:6" ht="15.75">
      <c r="E3" s="627" t="s">
        <v>603</v>
      </c>
      <c r="F3" s="543"/>
    </row>
    <row r="4" spans="1:6" ht="15.75">
      <c r="A4" s="751" t="s">
        <v>155</v>
      </c>
      <c r="B4" s="751"/>
      <c r="C4" s="620"/>
      <c r="D4" s="620"/>
      <c r="E4" s="649" t="s">
        <v>157</v>
      </c>
      <c r="F4" s="304"/>
    </row>
    <row r="5" spans="1:6" ht="15.75">
      <c r="A5" s="621" t="s">
        <v>16</v>
      </c>
      <c r="B5" s="621" t="s">
        <v>156</v>
      </c>
      <c r="C5" s="621" t="s">
        <v>0</v>
      </c>
      <c r="D5" s="621" t="s">
        <v>139</v>
      </c>
      <c r="E5" s="621" t="s">
        <v>156</v>
      </c>
      <c r="F5" s="304"/>
    </row>
    <row r="6" spans="1:6" ht="15.75">
      <c r="A6" s="630" t="s">
        <v>49</v>
      </c>
      <c r="B6" s="630" t="s">
        <v>49</v>
      </c>
      <c r="C6" s="616"/>
      <c r="D6" s="616"/>
      <c r="E6" s="630" t="s">
        <v>49</v>
      </c>
      <c r="F6" s="304"/>
    </row>
    <row r="7" spans="1:6" ht="15.75">
      <c r="A7" s="628"/>
      <c r="B7" s="650">
        <v>26871613.18999999</v>
      </c>
      <c r="C7" s="612" t="s">
        <v>159</v>
      </c>
      <c r="D7" s="613"/>
      <c r="E7" s="650">
        <v>26871613.18999999</v>
      </c>
      <c r="F7" s="549"/>
    </row>
    <row r="8" spans="1:6" ht="15.75">
      <c r="A8" s="628"/>
      <c r="B8" s="628"/>
      <c r="C8" s="612" t="s">
        <v>160</v>
      </c>
      <c r="D8" s="613"/>
      <c r="E8" s="628"/>
      <c r="F8" s="90"/>
    </row>
    <row r="9" spans="1:6" ht="15.75">
      <c r="A9" s="631">
        <v>191000</v>
      </c>
      <c r="B9" s="631">
        <f>+E9</f>
        <v>34.5</v>
      </c>
      <c r="C9" s="613" t="s">
        <v>19</v>
      </c>
      <c r="D9" s="614">
        <v>411000</v>
      </c>
      <c r="E9" s="628">
        <v>34.5</v>
      </c>
      <c r="F9" s="90"/>
    </row>
    <row r="10" spans="1:6" ht="15.75">
      <c r="A10" s="631">
        <v>186700</v>
      </c>
      <c r="B10" s="631">
        <f aca="true" t="shared" si="0" ref="B10:B16">+E10</f>
        <v>11780</v>
      </c>
      <c r="C10" s="613" t="s">
        <v>357</v>
      </c>
      <c r="D10" s="614">
        <v>412000</v>
      </c>
      <c r="E10" s="628">
        <v>11780</v>
      </c>
      <c r="F10" s="90"/>
    </row>
    <row r="11" spans="1:6" ht="15.75">
      <c r="A11" s="631">
        <v>291000</v>
      </c>
      <c r="B11" s="631">
        <f t="shared" si="0"/>
        <v>0</v>
      </c>
      <c r="C11" s="613" t="s">
        <v>21</v>
      </c>
      <c r="D11" s="614">
        <v>413000</v>
      </c>
      <c r="E11" s="628">
        <v>0</v>
      </c>
      <c r="F11" s="90"/>
    </row>
    <row r="12" spans="1:7" ht="15.75">
      <c r="A12" s="631">
        <v>180000</v>
      </c>
      <c r="B12" s="631">
        <f t="shared" si="0"/>
        <v>12005</v>
      </c>
      <c r="C12" s="613" t="s">
        <v>23</v>
      </c>
      <c r="D12" s="614">
        <v>414000</v>
      </c>
      <c r="E12" s="628">
        <v>12005</v>
      </c>
      <c r="F12" s="90"/>
      <c r="G12" s="151">
        <f>17002-9298</f>
        <v>7704</v>
      </c>
    </row>
    <row r="13" spans="1:6" ht="15.75">
      <c r="A13" s="631">
        <v>120000</v>
      </c>
      <c r="B13" s="631">
        <f t="shared" si="0"/>
        <v>2510</v>
      </c>
      <c r="C13" s="613" t="s">
        <v>20</v>
      </c>
      <c r="D13" s="614">
        <v>415000</v>
      </c>
      <c r="E13" s="628">
        <v>2510</v>
      </c>
      <c r="F13" s="90"/>
    </row>
    <row r="14" spans="1:6" ht="15.75">
      <c r="A14" s="631">
        <v>500</v>
      </c>
      <c r="B14" s="631">
        <f t="shared" si="0"/>
        <v>0</v>
      </c>
      <c r="C14" s="613" t="s">
        <v>125</v>
      </c>
      <c r="D14" s="614">
        <v>416000</v>
      </c>
      <c r="E14" s="628">
        <v>0</v>
      </c>
      <c r="F14" s="90"/>
    </row>
    <row r="15" spans="1:6" ht="15.75">
      <c r="A15" s="631">
        <v>12750000</v>
      </c>
      <c r="B15" s="631">
        <f t="shared" si="0"/>
        <v>628976.32</v>
      </c>
      <c r="C15" s="613" t="s">
        <v>50</v>
      </c>
      <c r="D15" s="614">
        <v>421000</v>
      </c>
      <c r="E15" s="628">
        <v>628976.32</v>
      </c>
      <c r="F15" s="90"/>
    </row>
    <row r="16" spans="1:6" ht="15.75">
      <c r="A16" s="631">
        <v>17000000</v>
      </c>
      <c r="B16" s="631">
        <f t="shared" si="0"/>
        <v>0</v>
      </c>
      <c r="C16" s="613" t="s">
        <v>22</v>
      </c>
      <c r="D16" s="614">
        <v>431002</v>
      </c>
      <c r="E16" s="628">
        <v>0</v>
      </c>
      <c r="F16" s="90"/>
    </row>
    <row r="17" spans="1:7" ht="16.5" thickBot="1">
      <c r="A17" s="632">
        <f>SUM(A9:A16)</f>
        <v>30719200</v>
      </c>
      <c r="B17" s="632">
        <f>SUM(B9:B16)</f>
        <v>655305.82</v>
      </c>
      <c r="C17" s="613"/>
      <c r="D17" s="614"/>
      <c r="E17" s="632">
        <f>SUM(E9:E16)</f>
        <v>655305.82</v>
      </c>
      <c r="F17" s="549"/>
      <c r="G17" s="151">
        <f>+E17-1402899.14</f>
        <v>-747593.32</v>
      </c>
    </row>
    <row r="18" spans="1:6" ht="16.5" thickTop="1">
      <c r="A18" s="633"/>
      <c r="B18" s="631">
        <f>+E18</f>
        <v>0</v>
      </c>
      <c r="C18" s="613" t="s">
        <v>71</v>
      </c>
      <c r="D18" s="614">
        <v>441000</v>
      </c>
      <c r="E18" s="628">
        <v>0</v>
      </c>
      <c r="F18" s="90"/>
    </row>
    <row r="19" spans="1:6" ht="15.75">
      <c r="A19" s="634"/>
      <c r="B19" s="631">
        <f aca="true" t="shared" si="1" ref="B19:B35">+E19</f>
        <v>0</v>
      </c>
      <c r="C19" s="613" t="s">
        <v>124</v>
      </c>
      <c r="D19" s="614">
        <v>441000</v>
      </c>
      <c r="E19" s="628">
        <v>0</v>
      </c>
      <c r="F19" s="90"/>
    </row>
    <row r="20" spans="1:6" ht="15.75">
      <c r="A20" s="634"/>
      <c r="B20" s="631">
        <f t="shared" si="1"/>
        <v>1623.51</v>
      </c>
      <c r="C20" s="613" t="s">
        <v>26</v>
      </c>
      <c r="D20" s="614">
        <v>230102</v>
      </c>
      <c r="E20" s="628">
        <v>1623.51</v>
      </c>
      <c r="F20" s="90"/>
    </row>
    <row r="21" spans="1:6" ht="15.75">
      <c r="A21" s="617"/>
      <c r="B21" s="631">
        <f t="shared" si="1"/>
        <v>7.76</v>
      </c>
      <c r="C21" s="613" t="s">
        <v>161</v>
      </c>
      <c r="D21" s="614">
        <v>230105</v>
      </c>
      <c r="E21" s="628">
        <v>7.76</v>
      </c>
      <c r="F21" s="90"/>
    </row>
    <row r="22" spans="1:6" ht="15.75">
      <c r="A22" s="624"/>
      <c r="B22" s="631">
        <f t="shared" si="1"/>
        <v>6002</v>
      </c>
      <c r="C22" s="613" t="s">
        <v>27</v>
      </c>
      <c r="D22" s="614">
        <v>230108</v>
      </c>
      <c r="E22" s="628">
        <v>6002</v>
      </c>
      <c r="F22" s="90"/>
    </row>
    <row r="23" spans="1:6" ht="15.75" hidden="1">
      <c r="A23" s="624"/>
      <c r="B23" s="631">
        <f t="shared" si="1"/>
        <v>0</v>
      </c>
      <c r="C23" s="613" t="s">
        <v>353</v>
      </c>
      <c r="D23" s="614">
        <v>230199</v>
      </c>
      <c r="E23" s="628">
        <v>0</v>
      </c>
      <c r="F23" s="90"/>
    </row>
    <row r="24" spans="1:6" ht="15.75">
      <c r="A24" s="624"/>
      <c r="B24" s="631">
        <f t="shared" si="1"/>
        <v>0</v>
      </c>
      <c r="C24" s="615" t="s">
        <v>88</v>
      </c>
      <c r="D24" s="614">
        <v>230199</v>
      </c>
      <c r="E24" s="628">
        <v>0</v>
      </c>
      <c r="F24" s="90"/>
    </row>
    <row r="25" spans="1:6" ht="15.75">
      <c r="A25" s="624"/>
      <c r="B25" s="631">
        <f t="shared" si="1"/>
        <v>112.65</v>
      </c>
      <c r="C25" s="613" t="s">
        <v>57</v>
      </c>
      <c r="D25" s="614">
        <v>110602</v>
      </c>
      <c r="E25" s="628">
        <v>112.65</v>
      </c>
      <c r="F25" s="90"/>
    </row>
    <row r="26" spans="2:6" ht="15.75">
      <c r="B26" s="631">
        <f t="shared" si="1"/>
        <v>1720</v>
      </c>
      <c r="C26" s="613" t="s">
        <v>60</v>
      </c>
      <c r="D26" s="614">
        <v>110604</v>
      </c>
      <c r="E26" s="628">
        <v>1720</v>
      </c>
      <c r="F26" s="90"/>
    </row>
    <row r="27" spans="2:6" ht="15.75" hidden="1">
      <c r="B27" s="631">
        <f t="shared" si="1"/>
        <v>0</v>
      </c>
      <c r="C27" s="613" t="s">
        <v>130</v>
      </c>
      <c r="D27" s="614">
        <v>110605</v>
      </c>
      <c r="E27" s="628"/>
      <c r="F27" s="90"/>
    </row>
    <row r="28" spans="2:6" ht="15.75" hidden="1">
      <c r="B28" s="631">
        <f t="shared" si="1"/>
        <v>0</v>
      </c>
      <c r="C28" s="613" t="s">
        <v>152</v>
      </c>
      <c r="D28" s="614">
        <v>110606</v>
      </c>
      <c r="E28" s="628"/>
      <c r="F28" s="90"/>
    </row>
    <row r="29" spans="2:6" ht="15.75" hidden="1">
      <c r="B29" s="631">
        <f t="shared" si="1"/>
        <v>0</v>
      </c>
      <c r="C29" s="615" t="s">
        <v>360</v>
      </c>
      <c r="D29" s="614">
        <v>300000</v>
      </c>
      <c r="E29" s="628"/>
      <c r="F29" s="90"/>
    </row>
    <row r="30" spans="2:6" ht="15.75" hidden="1">
      <c r="B30" s="631">
        <f t="shared" si="1"/>
        <v>0</v>
      </c>
      <c r="C30" s="615" t="s">
        <v>361</v>
      </c>
      <c r="D30" s="614">
        <v>441000</v>
      </c>
      <c r="E30" s="628"/>
      <c r="F30" s="90"/>
    </row>
    <row r="31" spans="2:6" ht="15.75" hidden="1">
      <c r="B31" s="631">
        <f t="shared" si="1"/>
        <v>0</v>
      </c>
      <c r="C31" s="615" t="s">
        <v>367</v>
      </c>
      <c r="D31" s="614">
        <v>441000</v>
      </c>
      <c r="E31" s="628"/>
      <c r="F31" s="90"/>
    </row>
    <row r="32" spans="2:6" ht="15.75" hidden="1">
      <c r="B32" s="631">
        <f t="shared" si="1"/>
        <v>0</v>
      </c>
      <c r="C32" s="615" t="s">
        <v>426</v>
      </c>
      <c r="D32" s="614">
        <v>441000</v>
      </c>
      <c r="E32" s="628"/>
      <c r="F32" s="90"/>
    </row>
    <row r="33" spans="2:6" ht="15.75">
      <c r="B33" s="631">
        <f t="shared" si="1"/>
        <v>1400</v>
      </c>
      <c r="C33" s="615" t="s">
        <v>606</v>
      </c>
      <c r="D33" s="614">
        <v>300000</v>
      </c>
      <c r="E33" s="628">
        <v>1400</v>
      </c>
      <c r="F33" s="90"/>
    </row>
    <row r="34" spans="2:6" ht="15.75" hidden="1">
      <c r="B34" s="631">
        <f t="shared" si="1"/>
        <v>0</v>
      </c>
      <c r="C34" s="615" t="s">
        <v>430</v>
      </c>
      <c r="D34" s="614">
        <v>532000</v>
      </c>
      <c r="E34" s="628"/>
      <c r="F34" s="90"/>
    </row>
    <row r="35" spans="2:6" ht="15.75" hidden="1">
      <c r="B35" s="631">
        <f t="shared" si="1"/>
        <v>0</v>
      </c>
      <c r="C35" s="615" t="s">
        <v>313</v>
      </c>
      <c r="D35" s="614">
        <v>230200</v>
      </c>
      <c r="E35" s="628">
        <v>0</v>
      </c>
      <c r="F35" s="90"/>
    </row>
    <row r="36" spans="2:6" ht="15.75">
      <c r="B36" s="631"/>
      <c r="C36" s="615"/>
      <c r="D36" s="614"/>
      <c r="E36" s="628"/>
      <c r="F36" s="90"/>
    </row>
    <row r="37" spans="2:6" ht="15.75">
      <c r="B37" s="631"/>
      <c r="C37" s="615"/>
      <c r="D37" s="614"/>
      <c r="E37" s="628"/>
      <c r="F37" s="90"/>
    </row>
    <row r="38" spans="2:6" ht="15.75">
      <c r="B38" s="631"/>
      <c r="C38" s="615"/>
      <c r="D38" s="614"/>
      <c r="E38" s="628"/>
      <c r="F38" s="90"/>
    </row>
    <row r="39" spans="2:6" ht="15.75">
      <c r="B39" s="631"/>
      <c r="C39" s="615"/>
      <c r="D39" s="614"/>
      <c r="E39" s="628"/>
      <c r="F39" s="90"/>
    </row>
    <row r="40" spans="2:6" ht="15.75">
      <c r="B40" s="631"/>
      <c r="C40" s="615"/>
      <c r="D40" s="614"/>
      <c r="E40" s="628"/>
      <c r="F40" s="90"/>
    </row>
    <row r="41" spans="2:6" ht="15.75">
      <c r="B41" s="628"/>
      <c r="C41" s="615"/>
      <c r="D41" s="616"/>
      <c r="E41" s="628"/>
      <c r="F41" s="90"/>
    </row>
    <row r="42" spans="2:6" ht="15.75">
      <c r="B42" s="651">
        <f>SUM(B18:B41)</f>
        <v>10865.92</v>
      </c>
      <c r="C42" s="615"/>
      <c r="D42" s="617"/>
      <c r="E42" s="651">
        <f>SUM(E18:E41)</f>
        <v>10865.92</v>
      </c>
      <c r="F42" s="549"/>
    </row>
    <row r="43" spans="2:7" ht="16.5" thickBot="1">
      <c r="B43" s="632">
        <f>SUM(B42+B17)</f>
        <v>666171.74</v>
      </c>
      <c r="C43" s="618" t="s">
        <v>32</v>
      </c>
      <c r="D43" s="617"/>
      <c r="E43" s="632">
        <f>SUM(E17,E42)</f>
        <v>666171.74</v>
      </c>
      <c r="F43" s="549"/>
      <c r="G43" s="151">
        <f>670011.84-5463.61</f>
        <v>664548.23</v>
      </c>
    </row>
    <row r="44" ht="16.5" thickTop="1"/>
    <row r="49" spans="1:6" ht="15.75">
      <c r="A49" s="751" t="s">
        <v>155</v>
      </c>
      <c r="B49" s="751"/>
      <c r="C49" s="620"/>
      <c r="D49" s="620"/>
      <c r="E49" s="649" t="s">
        <v>157</v>
      </c>
      <c r="F49" s="304"/>
    </row>
    <row r="50" spans="1:6" ht="15.75">
      <c r="A50" s="621" t="s">
        <v>16</v>
      </c>
      <c r="B50" s="621" t="s">
        <v>156</v>
      </c>
      <c r="C50" s="621" t="s">
        <v>0</v>
      </c>
      <c r="D50" s="621" t="s">
        <v>139</v>
      </c>
      <c r="E50" s="621" t="s">
        <v>156</v>
      </c>
      <c r="F50" s="304"/>
    </row>
    <row r="51" spans="1:6" ht="15.75">
      <c r="A51" s="630" t="s">
        <v>49</v>
      </c>
      <c r="B51" s="630" t="s">
        <v>49</v>
      </c>
      <c r="C51" s="616"/>
      <c r="D51" s="616"/>
      <c r="E51" s="630" t="s">
        <v>49</v>
      </c>
      <c r="F51" s="304"/>
    </row>
    <row r="52" spans="1:6" ht="15.75">
      <c r="A52" s="628"/>
      <c r="B52" s="628"/>
      <c r="C52" s="612" t="s">
        <v>30</v>
      </c>
      <c r="D52" s="613"/>
      <c r="E52" s="652"/>
      <c r="F52" s="90"/>
    </row>
    <row r="53" spans="1:6" ht="17.25">
      <c r="A53" s="628">
        <v>1423230</v>
      </c>
      <c r="B53" s="631">
        <f>+E53</f>
        <v>7500</v>
      </c>
      <c r="C53" s="613" t="s">
        <v>11</v>
      </c>
      <c r="D53" s="622">
        <v>510000</v>
      </c>
      <c r="E53" s="653">
        <v>7500</v>
      </c>
      <c r="F53" s="550"/>
    </row>
    <row r="54" spans="1:6" ht="17.25">
      <c r="A54" s="628">
        <v>2624640</v>
      </c>
      <c r="B54" s="631">
        <f aca="true" t="shared" si="2" ref="B54:B65">+E54</f>
        <v>209060</v>
      </c>
      <c r="C54" s="613" t="s">
        <v>162</v>
      </c>
      <c r="D54" s="622">
        <v>521000</v>
      </c>
      <c r="E54" s="654">
        <v>209060</v>
      </c>
      <c r="F54" s="167"/>
    </row>
    <row r="55" spans="1:6" ht="17.25">
      <c r="A55" s="628">
        <f>2150000+300000+76000+750000+100000+21000+350000+50000+21000</f>
        <v>3818000</v>
      </c>
      <c r="B55" s="631">
        <f t="shared" si="2"/>
        <v>253107.58</v>
      </c>
      <c r="C55" s="613" t="s">
        <v>163</v>
      </c>
      <c r="D55" s="622">
        <v>522000</v>
      </c>
      <c r="E55" s="654">
        <v>253107.58</v>
      </c>
      <c r="F55" s="167"/>
    </row>
    <row r="56" spans="1:6" ht="17.25">
      <c r="A56" s="628">
        <f>300000+55000</f>
        <v>355000</v>
      </c>
      <c r="B56" s="631">
        <f t="shared" si="2"/>
        <v>27285</v>
      </c>
      <c r="C56" s="613" t="s">
        <v>3</v>
      </c>
      <c r="D56" s="622">
        <v>220400</v>
      </c>
      <c r="E56" s="654">
        <v>27285</v>
      </c>
      <c r="F56" s="167"/>
    </row>
    <row r="57" spans="1:6" ht="17.25">
      <c r="A57" s="628">
        <f>980000+580000+115000+70000+20000+10000+230000+120000</f>
        <v>2125000</v>
      </c>
      <c r="B57" s="631">
        <f t="shared" si="2"/>
        <v>177900</v>
      </c>
      <c r="C57" s="613" t="s">
        <v>4</v>
      </c>
      <c r="D57" s="622">
        <v>220600</v>
      </c>
      <c r="E57" s="654">
        <v>177900</v>
      </c>
      <c r="F57" s="167"/>
    </row>
    <row r="58" spans="1:6" ht="17.25">
      <c r="A58" s="628">
        <f>514000+160000+50000+10500+100000</f>
        <v>834500</v>
      </c>
      <c r="B58" s="631">
        <f t="shared" si="2"/>
        <v>42983</v>
      </c>
      <c r="C58" s="613" t="s">
        <v>5</v>
      </c>
      <c r="D58" s="622">
        <v>531000</v>
      </c>
      <c r="E58" s="654">
        <v>42983</v>
      </c>
      <c r="F58" s="167"/>
    </row>
    <row r="59" spans="1:6" ht="17.25">
      <c r="A59" s="628">
        <f>1215000+160000+170000+160000+1200630+100000+80000+50000+700000+395000+550000+420000+100000+30000+150000</f>
        <v>5480630</v>
      </c>
      <c r="B59" s="631">
        <f t="shared" si="2"/>
        <v>52522.25</v>
      </c>
      <c r="C59" s="613" t="s">
        <v>6</v>
      </c>
      <c r="D59" s="622">
        <v>532000</v>
      </c>
      <c r="E59" s="654">
        <v>52522.25</v>
      </c>
      <c r="F59" s="167"/>
    </row>
    <row r="60" spans="1:6" ht="17.25">
      <c r="A60" s="628">
        <f>780000+100000+32500+2054500+100000+100000+180000+680000+50000+50000</f>
        <v>4127000</v>
      </c>
      <c r="B60" s="631">
        <f t="shared" si="2"/>
        <v>7830</v>
      </c>
      <c r="C60" s="613" t="s">
        <v>7</v>
      </c>
      <c r="D60" s="622">
        <v>533000</v>
      </c>
      <c r="E60" s="654">
        <v>7830</v>
      </c>
      <c r="F60" s="167"/>
    </row>
    <row r="61" spans="1:6" ht="17.25">
      <c r="A61" s="628">
        <f>460000+470000</f>
        <v>930000</v>
      </c>
      <c r="B61" s="631">
        <f t="shared" si="2"/>
        <v>85726.58</v>
      </c>
      <c r="C61" s="613" t="s">
        <v>8</v>
      </c>
      <c r="D61" s="622">
        <v>534000</v>
      </c>
      <c r="E61" s="654">
        <v>85726.58</v>
      </c>
      <c r="F61" s="167"/>
    </row>
    <row r="62" spans="1:6" ht="17.25">
      <c r="A62" s="628">
        <f>150000+148000+92000+100000</f>
        <v>490000</v>
      </c>
      <c r="B62" s="631">
        <f t="shared" si="2"/>
        <v>0</v>
      </c>
      <c r="C62" s="613" t="s">
        <v>9</v>
      </c>
      <c r="D62" s="622">
        <v>541000</v>
      </c>
      <c r="E62" s="654">
        <v>0</v>
      </c>
      <c r="F62" s="167"/>
    </row>
    <row r="63" spans="1:6" ht="17.25">
      <c r="A63" s="628">
        <f>743200+97100+3552900</f>
        <v>4393200</v>
      </c>
      <c r="B63" s="631">
        <f t="shared" si="2"/>
        <v>0</v>
      </c>
      <c r="C63" s="613" t="s">
        <v>10</v>
      </c>
      <c r="D63" s="622">
        <v>542000</v>
      </c>
      <c r="E63" s="654">
        <v>0</v>
      </c>
      <c r="F63" s="167"/>
    </row>
    <row r="64" spans="1:6" ht="17.25">
      <c r="A64" s="628">
        <f>20000+3684000+240000+30000+40000+69000+10000</f>
        <v>4093000</v>
      </c>
      <c r="B64" s="631">
        <f t="shared" si="2"/>
        <v>0</v>
      </c>
      <c r="C64" s="613" t="s">
        <v>13</v>
      </c>
      <c r="D64" s="614">
        <v>560000</v>
      </c>
      <c r="E64" s="654">
        <v>0</v>
      </c>
      <c r="F64" s="167"/>
    </row>
    <row r="65" spans="1:6" ht="15.75">
      <c r="A65" s="628">
        <v>25000</v>
      </c>
      <c r="B65" s="631">
        <f t="shared" si="2"/>
        <v>0</v>
      </c>
      <c r="C65" s="613" t="s">
        <v>12</v>
      </c>
      <c r="D65" s="622">
        <v>550000</v>
      </c>
      <c r="E65" s="628">
        <v>0</v>
      </c>
      <c r="F65" s="90"/>
    </row>
    <row r="66" spans="1:6" ht="16.5" thickBot="1">
      <c r="A66" s="632">
        <f>SUM(A53:A65)</f>
        <v>30719200</v>
      </c>
      <c r="B66" s="632">
        <f>SUM(B53:B65)</f>
        <v>863914.4099999999</v>
      </c>
      <c r="C66" s="618"/>
      <c r="D66" s="613"/>
      <c r="E66" s="632">
        <f>SUM(E53:E65)</f>
        <v>863914.4099999999</v>
      </c>
      <c r="F66" s="549"/>
    </row>
    <row r="67" spans="1:6" ht="16.5" thickTop="1">
      <c r="A67" s="633"/>
      <c r="B67" s="631">
        <f>+E67</f>
        <v>0</v>
      </c>
      <c r="C67" s="613" t="s">
        <v>602</v>
      </c>
      <c r="D67" s="622">
        <v>441000</v>
      </c>
      <c r="E67" s="628">
        <v>0</v>
      </c>
      <c r="F67" s="90"/>
    </row>
    <row r="68" spans="1:6" ht="15.75" hidden="1">
      <c r="A68" s="634"/>
      <c r="B68" s="631">
        <f aca="true" t="shared" si="3" ref="B68:B81">+E68</f>
        <v>0</v>
      </c>
      <c r="C68" s="613" t="s">
        <v>25</v>
      </c>
      <c r="D68" s="622">
        <v>412210</v>
      </c>
      <c r="E68" s="628"/>
      <c r="F68" s="90"/>
    </row>
    <row r="69" spans="1:6" ht="15.75">
      <c r="A69" s="634"/>
      <c r="B69" s="631">
        <f t="shared" si="3"/>
        <v>0</v>
      </c>
      <c r="C69" s="613" t="s">
        <v>146</v>
      </c>
      <c r="D69" s="614">
        <v>110202</v>
      </c>
      <c r="E69" s="628">
        <v>0</v>
      </c>
      <c r="F69" s="90"/>
    </row>
    <row r="70" spans="1:6" ht="15.75">
      <c r="A70" s="634"/>
      <c r="B70" s="631">
        <f t="shared" si="3"/>
        <v>141350</v>
      </c>
      <c r="C70" s="613" t="s">
        <v>130</v>
      </c>
      <c r="D70" s="622">
        <v>110605</v>
      </c>
      <c r="E70" s="628">
        <v>141350</v>
      </c>
      <c r="F70" s="90"/>
    </row>
    <row r="71" spans="1:6" ht="15.75">
      <c r="A71" s="634"/>
      <c r="B71" s="631">
        <f t="shared" si="3"/>
        <v>0</v>
      </c>
      <c r="C71" s="613" t="s">
        <v>440</v>
      </c>
      <c r="D71" s="622">
        <v>110609</v>
      </c>
      <c r="E71" s="628">
        <v>0</v>
      </c>
      <c r="F71" s="90"/>
    </row>
    <row r="72" spans="1:6" ht="15.75">
      <c r="A72" s="634"/>
      <c r="B72" s="631">
        <f t="shared" si="3"/>
        <v>979900</v>
      </c>
      <c r="C72" s="613" t="s">
        <v>152</v>
      </c>
      <c r="D72" s="614">
        <v>110606</v>
      </c>
      <c r="E72" s="628">
        <v>979900</v>
      </c>
      <c r="F72" s="90"/>
    </row>
    <row r="73" spans="1:6" ht="15.75">
      <c r="A73" s="634"/>
      <c r="B73" s="631">
        <f t="shared" si="3"/>
        <v>17618.61</v>
      </c>
      <c r="C73" s="613" t="s">
        <v>26</v>
      </c>
      <c r="D73" s="614">
        <v>230102</v>
      </c>
      <c r="E73" s="628">
        <v>17618.61</v>
      </c>
      <c r="F73" s="90"/>
    </row>
    <row r="74" spans="1:6" ht="15.75">
      <c r="A74" s="634"/>
      <c r="B74" s="631">
        <f t="shared" si="3"/>
        <v>8490</v>
      </c>
      <c r="C74" s="613" t="s">
        <v>364</v>
      </c>
      <c r="D74" s="614">
        <v>230108</v>
      </c>
      <c r="E74" s="628">
        <v>8490</v>
      </c>
      <c r="F74" s="90"/>
    </row>
    <row r="75" spans="1:6" ht="15.75">
      <c r="A75" s="634"/>
      <c r="B75" s="631">
        <f t="shared" si="3"/>
        <v>1707.67</v>
      </c>
      <c r="C75" s="613" t="s">
        <v>88</v>
      </c>
      <c r="D75" s="623">
        <v>230199</v>
      </c>
      <c r="E75" s="628">
        <v>1707.67</v>
      </c>
      <c r="F75" s="90"/>
    </row>
    <row r="76" spans="1:6" ht="15.75">
      <c r="A76" s="634"/>
      <c r="B76" s="631">
        <f t="shared" si="3"/>
        <v>0</v>
      </c>
      <c r="C76" s="613" t="s">
        <v>420</v>
      </c>
      <c r="D76" s="623">
        <v>230199</v>
      </c>
      <c r="E76" s="628">
        <v>0</v>
      </c>
      <c r="F76" s="90"/>
    </row>
    <row r="77" spans="1:6" ht="15.75">
      <c r="A77" s="634"/>
      <c r="B77" s="631">
        <f t="shared" si="3"/>
        <v>0</v>
      </c>
      <c r="C77" s="613" t="s">
        <v>59</v>
      </c>
      <c r="D77" s="623">
        <v>210500</v>
      </c>
      <c r="E77" s="628">
        <v>0</v>
      </c>
      <c r="F77" s="90"/>
    </row>
    <row r="78" spans="1:6" ht="15.75">
      <c r="A78" s="634"/>
      <c r="B78" s="631">
        <f t="shared" si="3"/>
        <v>157910</v>
      </c>
      <c r="C78" s="613" t="s">
        <v>14</v>
      </c>
      <c r="D78" s="623">
        <v>210402</v>
      </c>
      <c r="E78" s="628">
        <v>157910</v>
      </c>
      <c r="F78" s="90"/>
    </row>
    <row r="79" spans="1:6" ht="15.75" hidden="1">
      <c r="A79" s="634"/>
      <c r="B79" s="631">
        <f t="shared" si="3"/>
        <v>0</v>
      </c>
      <c r="C79" s="613" t="s">
        <v>15</v>
      </c>
      <c r="D79" s="614">
        <v>300000</v>
      </c>
      <c r="E79" s="628">
        <v>0</v>
      </c>
      <c r="F79" s="90"/>
    </row>
    <row r="80" spans="1:6" ht="15.75" hidden="1">
      <c r="A80" s="634"/>
      <c r="B80" s="631">
        <f t="shared" si="3"/>
        <v>0</v>
      </c>
      <c r="C80" s="624" t="s">
        <v>532</v>
      </c>
      <c r="D80" s="614">
        <v>441000</v>
      </c>
      <c r="E80" s="628"/>
      <c r="F80" s="90"/>
    </row>
    <row r="81" spans="1:6" ht="15.75" hidden="1">
      <c r="A81" s="634"/>
      <c r="B81" s="631">
        <f t="shared" si="3"/>
        <v>0</v>
      </c>
      <c r="C81" s="624" t="s">
        <v>533</v>
      </c>
      <c r="D81" s="614">
        <v>441000</v>
      </c>
      <c r="E81" s="628"/>
      <c r="F81" s="90"/>
    </row>
    <row r="82" spans="1:6" ht="15.75">
      <c r="A82" s="634"/>
      <c r="B82" s="631"/>
      <c r="C82" s="624"/>
      <c r="D82" s="625"/>
      <c r="E82" s="628"/>
      <c r="F82" s="90"/>
    </row>
    <row r="83" spans="1:6" ht="15.75">
      <c r="A83" s="634"/>
      <c r="B83" s="651">
        <f>SUM(B67:B82)</f>
        <v>1306976.28</v>
      </c>
      <c r="C83" s="624"/>
      <c r="D83" s="617"/>
      <c r="E83" s="651">
        <f>SUM(E67:E82)</f>
        <v>1306976.28</v>
      </c>
      <c r="F83" s="549"/>
    </row>
    <row r="84" spans="1:6" ht="16.5" thickBot="1">
      <c r="A84" s="635"/>
      <c r="B84" s="632">
        <f>SUM(B83,B66)</f>
        <v>2170890.69</v>
      </c>
      <c r="C84" s="626" t="s">
        <v>31</v>
      </c>
      <c r="D84" s="617"/>
      <c r="E84" s="632">
        <f>SUM(E83,E66)</f>
        <v>2170890.69</v>
      </c>
      <c r="F84" s="549"/>
    </row>
    <row r="85" spans="2:6" ht="16.5" thickTop="1">
      <c r="B85" s="613"/>
      <c r="C85" s="627" t="s">
        <v>164</v>
      </c>
      <c r="D85" s="617"/>
      <c r="E85" s="613"/>
      <c r="F85" s="21"/>
    </row>
    <row r="86" spans="2:6" ht="15.75">
      <c r="B86" s="655"/>
      <c r="C86" s="627" t="s">
        <v>167</v>
      </c>
      <c r="D86" s="617"/>
      <c r="E86" s="655"/>
      <c r="F86" s="551"/>
    </row>
    <row r="87" spans="2:6" ht="15.75">
      <c r="B87" s="655">
        <f>SUM(B43-B84)</f>
        <v>-1504718.95</v>
      </c>
      <c r="C87" s="627" t="s">
        <v>165</v>
      </c>
      <c r="E87" s="655">
        <f>SUM(E43-E84)</f>
        <v>-1504718.95</v>
      </c>
      <c r="F87" s="551"/>
    </row>
    <row r="88" spans="2:7" ht="16.5" thickBot="1">
      <c r="B88" s="656">
        <f>SUM(B7+B43-B84)</f>
        <v>25366894.239999987</v>
      </c>
      <c r="C88" s="627" t="s">
        <v>166</v>
      </c>
      <c r="E88" s="656">
        <f>SUM(E7+E43-E84)</f>
        <v>25366894.239999987</v>
      </c>
      <c r="F88" s="103"/>
      <c r="G88" s="151">
        <f>+งบดุลบัญชี!K5</f>
        <v>25366894.1</v>
      </c>
    </row>
    <row r="89" spans="2:7" ht="16.5" thickTop="1">
      <c r="B89" s="657"/>
      <c r="C89" s="627"/>
      <c r="E89" s="657"/>
      <c r="F89" s="103"/>
      <c r="G89" s="151">
        <f>+G88-E88</f>
        <v>-0.13999998569488525</v>
      </c>
    </row>
    <row r="91" spans="1:6" ht="15.75">
      <c r="A91" s="749" t="s">
        <v>33</v>
      </c>
      <c r="B91" s="749"/>
      <c r="C91" s="673" t="str">
        <f>+A91</f>
        <v>(นายวสันต์  ไทรแก้ว)</v>
      </c>
      <c r="D91" s="749" t="s">
        <v>411</v>
      </c>
      <c r="E91" s="749"/>
      <c r="F91" s="542"/>
    </row>
    <row r="92" spans="1:6" ht="15.75">
      <c r="A92" s="749" t="s">
        <v>389</v>
      </c>
      <c r="B92" s="749"/>
      <c r="C92" s="673" t="s">
        <v>289</v>
      </c>
      <c r="D92" s="749" t="s">
        <v>38</v>
      </c>
      <c r="E92" s="749"/>
      <c r="F92" s="542"/>
    </row>
    <row r="93" spans="1:6" ht="15.75">
      <c r="A93" s="749" t="s">
        <v>36</v>
      </c>
      <c r="B93" s="749"/>
      <c r="D93" s="749"/>
      <c r="E93" s="749"/>
      <c r="F93" s="542"/>
    </row>
    <row r="94" spans="1:6" ht="15.75">
      <c r="A94" s="629" t="s">
        <v>29</v>
      </c>
      <c r="D94" s="672" t="s">
        <v>158</v>
      </c>
      <c r="E94" s="648" t="s">
        <v>615</v>
      </c>
      <c r="F94" s="114"/>
    </row>
    <row r="95" spans="1:6" ht="15.75">
      <c r="A95" s="750" t="s">
        <v>154</v>
      </c>
      <c r="B95" s="750"/>
      <c r="C95" s="750"/>
      <c r="D95" s="750"/>
      <c r="E95" s="750"/>
      <c r="F95" s="543"/>
    </row>
    <row r="96" spans="5:6" ht="15.75">
      <c r="E96" s="627" t="s">
        <v>603</v>
      </c>
      <c r="F96" s="543"/>
    </row>
    <row r="97" spans="1:6" ht="15.75">
      <c r="A97" s="751" t="s">
        <v>155</v>
      </c>
      <c r="B97" s="751"/>
      <c r="C97" s="620"/>
      <c r="D97" s="620"/>
      <c r="E97" s="649" t="s">
        <v>157</v>
      </c>
      <c r="F97" s="304"/>
    </row>
    <row r="98" spans="1:6" ht="15.75">
      <c r="A98" s="621" t="s">
        <v>16</v>
      </c>
      <c r="B98" s="621" t="s">
        <v>156</v>
      </c>
      <c r="C98" s="621" t="s">
        <v>0</v>
      </c>
      <c r="D98" s="621" t="s">
        <v>139</v>
      </c>
      <c r="E98" s="621" t="s">
        <v>156</v>
      </c>
      <c r="F98" s="304"/>
    </row>
    <row r="99" spans="1:6" ht="15.75">
      <c r="A99" s="630" t="s">
        <v>49</v>
      </c>
      <c r="B99" s="630" t="s">
        <v>49</v>
      </c>
      <c r="C99" s="616"/>
      <c r="D99" s="616"/>
      <c r="E99" s="630" t="s">
        <v>49</v>
      </c>
      <c r="F99" s="304"/>
    </row>
    <row r="100" spans="1:6" ht="15.75">
      <c r="A100" s="628"/>
      <c r="B100" s="650">
        <v>26871613.18999999</v>
      </c>
      <c r="C100" s="612" t="s">
        <v>159</v>
      </c>
      <c r="D100" s="613"/>
      <c r="E100" s="650">
        <f>+E88</f>
        <v>25366894.239999987</v>
      </c>
      <c r="F100" s="549"/>
    </row>
    <row r="101" spans="1:6" ht="15.75">
      <c r="A101" s="628"/>
      <c r="B101" s="628"/>
      <c r="C101" s="612" t="s">
        <v>160</v>
      </c>
      <c r="D101" s="613"/>
      <c r="E101" s="628"/>
      <c r="F101" s="90"/>
    </row>
    <row r="102" spans="1:6" ht="15.75">
      <c r="A102" s="631">
        <v>191000</v>
      </c>
      <c r="B102" s="631">
        <f>+E102+B9</f>
        <v>34.5</v>
      </c>
      <c r="C102" s="613" t="s">
        <v>19</v>
      </c>
      <c r="D102" s="614">
        <v>411000</v>
      </c>
      <c r="E102" s="628">
        <v>0</v>
      </c>
      <c r="F102" s="90"/>
    </row>
    <row r="103" spans="1:6" ht="15.75">
      <c r="A103" s="631">
        <v>186700</v>
      </c>
      <c r="B103" s="631">
        <f aca="true" t="shared" si="4" ref="B103:B109">+E103+B10</f>
        <v>22270</v>
      </c>
      <c r="C103" s="613" t="s">
        <v>357</v>
      </c>
      <c r="D103" s="614">
        <v>412000</v>
      </c>
      <c r="E103" s="628">
        <v>10490</v>
      </c>
      <c r="F103" s="90"/>
    </row>
    <row r="104" spans="1:6" ht="15.75">
      <c r="A104" s="631">
        <v>291000</v>
      </c>
      <c r="B104" s="631">
        <f t="shared" si="4"/>
        <v>0</v>
      </c>
      <c r="C104" s="613" t="s">
        <v>21</v>
      </c>
      <c r="D104" s="614">
        <v>413000</v>
      </c>
      <c r="E104" s="628">
        <v>0</v>
      </c>
      <c r="F104" s="90"/>
    </row>
    <row r="105" spans="1:6" ht="15.75">
      <c r="A105" s="631">
        <v>180000</v>
      </c>
      <c r="B105" s="631">
        <f t="shared" si="4"/>
        <v>46965</v>
      </c>
      <c r="C105" s="613" t="s">
        <v>23</v>
      </c>
      <c r="D105" s="614">
        <v>414000</v>
      </c>
      <c r="E105" s="628">
        <v>34960</v>
      </c>
      <c r="F105" s="90"/>
    </row>
    <row r="106" spans="1:6" ht="15.75">
      <c r="A106" s="631">
        <v>120000</v>
      </c>
      <c r="B106" s="631">
        <f t="shared" si="4"/>
        <v>13210</v>
      </c>
      <c r="C106" s="613" t="s">
        <v>20</v>
      </c>
      <c r="D106" s="614">
        <v>415000</v>
      </c>
      <c r="E106" s="628">
        <v>10700</v>
      </c>
      <c r="F106" s="90"/>
    </row>
    <row r="107" spans="1:6" ht="15.75">
      <c r="A107" s="631">
        <v>500</v>
      </c>
      <c r="B107" s="631">
        <f t="shared" si="4"/>
        <v>0</v>
      </c>
      <c r="C107" s="613" t="s">
        <v>125</v>
      </c>
      <c r="D107" s="614">
        <v>416000</v>
      </c>
      <c r="E107" s="628">
        <v>0</v>
      </c>
      <c r="F107" s="90"/>
    </row>
    <row r="108" spans="1:6" ht="15.75">
      <c r="A108" s="631">
        <v>12750000</v>
      </c>
      <c r="B108" s="631">
        <f t="shared" si="4"/>
        <v>1406170.2999999998</v>
      </c>
      <c r="C108" s="613" t="s">
        <v>50</v>
      </c>
      <c r="D108" s="614">
        <v>421000</v>
      </c>
      <c r="E108" s="628">
        <v>777193.98</v>
      </c>
      <c r="F108" s="90"/>
    </row>
    <row r="109" spans="1:6" ht="15.75">
      <c r="A109" s="631">
        <v>17000000</v>
      </c>
      <c r="B109" s="631">
        <f t="shared" si="4"/>
        <v>0</v>
      </c>
      <c r="C109" s="613" t="s">
        <v>22</v>
      </c>
      <c r="D109" s="614">
        <v>431002</v>
      </c>
      <c r="E109" s="628">
        <v>0</v>
      </c>
      <c r="F109" s="90"/>
    </row>
    <row r="110" spans="1:6" ht="16.5" thickBot="1">
      <c r="A110" s="632">
        <f>SUM(A102:A109)</f>
        <v>30719200</v>
      </c>
      <c r="B110" s="632">
        <f>SUM(B102:B109)</f>
        <v>1488649.7999999998</v>
      </c>
      <c r="C110" s="613"/>
      <c r="D110" s="614"/>
      <c r="E110" s="632">
        <f>SUM(E102:E109)</f>
        <v>833343.98</v>
      </c>
      <c r="F110" s="549"/>
    </row>
    <row r="111" spans="1:6" ht="16.5" thickTop="1">
      <c r="A111" s="633"/>
      <c r="B111" s="631">
        <f>+E111+B18</f>
        <v>0</v>
      </c>
      <c r="C111" s="613" t="s">
        <v>71</v>
      </c>
      <c r="D111" s="614">
        <v>441000</v>
      </c>
      <c r="E111" s="628">
        <v>0</v>
      </c>
      <c r="F111" s="90"/>
    </row>
    <row r="112" spans="1:6" ht="15.75">
      <c r="A112" s="634"/>
      <c r="B112" s="631">
        <f aca="true" t="shared" si="5" ref="B112:B129">+E112+B19</f>
        <v>4781400</v>
      </c>
      <c r="C112" s="613" t="s">
        <v>124</v>
      </c>
      <c r="D112" s="614">
        <v>441000</v>
      </c>
      <c r="E112" s="628">
        <v>4781400</v>
      </c>
      <c r="F112" s="90"/>
    </row>
    <row r="113" spans="1:6" ht="15.75">
      <c r="A113" s="634"/>
      <c r="B113" s="631">
        <f t="shared" si="5"/>
        <v>3691.1499999999996</v>
      </c>
      <c r="C113" s="613" t="s">
        <v>26</v>
      </c>
      <c r="D113" s="614">
        <v>230102</v>
      </c>
      <c r="E113" s="628">
        <v>2067.64</v>
      </c>
      <c r="F113" s="90"/>
    </row>
    <row r="114" spans="1:6" ht="15.75">
      <c r="A114" s="617"/>
      <c r="B114" s="631">
        <f t="shared" si="5"/>
        <v>7.76</v>
      </c>
      <c r="C114" s="613" t="s">
        <v>161</v>
      </c>
      <c r="D114" s="614">
        <v>230105</v>
      </c>
      <c r="E114" s="628">
        <v>0</v>
      </c>
      <c r="F114" s="90"/>
    </row>
    <row r="115" spans="1:6" ht="15.75">
      <c r="A115" s="624"/>
      <c r="B115" s="631">
        <f t="shared" si="5"/>
        <v>6002</v>
      </c>
      <c r="C115" s="613" t="s">
        <v>27</v>
      </c>
      <c r="D115" s="614">
        <v>230108</v>
      </c>
      <c r="E115" s="628">
        <v>0</v>
      </c>
      <c r="F115" s="90"/>
    </row>
    <row r="116" spans="1:6" ht="15.75">
      <c r="A116" s="624"/>
      <c r="B116" s="631">
        <f t="shared" si="5"/>
        <v>0</v>
      </c>
      <c r="C116" s="613" t="s">
        <v>353</v>
      </c>
      <c r="D116" s="614">
        <v>230199</v>
      </c>
      <c r="E116" s="628">
        <v>0</v>
      </c>
      <c r="F116" s="90"/>
    </row>
    <row r="117" spans="1:6" ht="15.75">
      <c r="A117" s="624"/>
      <c r="B117" s="631">
        <f t="shared" si="5"/>
        <v>3148.61</v>
      </c>
      <c r="C117" s="615" t="s">
        <v>88</v>
      </c>
      <c r="D117" s="614">
        <v>230199</v>
      </c>
      <c r="E117" s="628">
        <v>3148.61</v>
      </c>
      <c r="F117" s="90"/>
    </row>
    <row r="118" spans="1:6" ht="15.75">
      <c r="A118" s="624"/>
      <c r="B118" s="631">
        <f t="shared" si="5"/>
        <v>112.65</v>
      </c>
      <c r="C118" s="613" t="s">
        <v>57</v>
      </c>
      <c r="D118" s="614">
        <v>110602</v>
      </c>
      <c r="E118" s="628">
        <v>0</v>
      </c>
      <c r="F118" s="90"/>
    </row>
    <row r="119" spans="2:6" ht="15.75">
      <c r="B119" s="631">
        <f t="shared" si="5"/>
        <v>1815</v>
      </c>
      <c r="C119" s="613" t="s">
        <v>60</v>
      </c>
      <c r="D119" s="614">
        <v>110604</v>
      </c>
      <c r="E119" s="628">
        <v>95</v>
      </c>
      <c r="F119" s="90"/>
    </row>
    <row r="120" spans="2:6" ht="15.75">
      <c r="B120" s="631">
        <f t="shared" si="5"/>
        <v>0</v>
      </c>
      <c r="C120" s="613" t="s">
        <v>130</v>
      </c>
      <c r="D120" s="614">
        <v>110605</v>
      </c>
      <c r="E120" s="628">
        <v>0</v>
      </c>
      <c r="F120" s="90"/>
    </row>
    <row r="121" spans="2:6" ht="15.75">
      <c r="B121" s="631">
        <f t="shared" si="5"/>
        <v>0</v>
      </c>
      <c r="C121" s="613" t="s">
        <v>152</v>
      </c>
      <c r="D121" s="614">
        <v>110606</v>
      </c>
      <c r="E121" s="628">
        <v>0</v>
      </c>
      <c r="F121" s="90"/>
    </row>
    <row r="122" spans="2:6" ht="15.75">
      <c r="B122" s="631">
        <f t="shared" si="5"/>
        <v>0</v>
      </c>
      <c r="C122" s="615" t="s">
        <v>360</v>
      </c>
      <c r="D122" s="614">
        <v>300000</v>
      </c>
      <c r="E122" s="628">
        <v>0</v>
      </c>
      <c r="F122" s="90"/>
    </row>
    <row r="123" spans="2:6" ht="15.75">
      <c r="B123" s="631">
        <f t="shared" si="5"/>
        <v>0</v>
      </c>
      <c r="C123" s="615" t="s">
        <v>361</v>
      </c>
      <c r="D123" s="614">
        <v>441000</v>
      </c>
      <c r="E123" s="628">
        <v>0</v>
      </c>
      <c r="F123" s="90"/>
    </row>
    <row r="124" spans="2:6" ht="15.75">
      <c r="B124" s="631">
        <f t="shared" si="5"/>
        <v>0</v>
      </c>
      <c r="C124" s="615" t="s">
        <v>367</v>
      </c>
      <c r="D124" s="614">
        <v>441000</v>
      </c>
      <c r="E124" s="628">
        <v>0</v>
      </c>
      <c r="F124" s="90"/>
    </row>
    <row r="125" spans="2:6" ht="15.75">
      <c r="B125" s="631">
        <f t="shared" si="5"/>
        <v>0</v>
      </c>
      <c r="C125" s="615" t="s">
        <v>426</v>
      </c>
      <c r="D125" s="614">
        <v>441000</v>
      </c>
      <c r="E125" s="628">
        <v>0</v>
      </c>
      <c r="F125" s="90"/>
    </row>
    <row r="126" spans="2:6" ht="15.75">
      <c r="B126" s="631">
        <f t="shared" si="5"/>
        <v>1400</v>
      </c>
      <c r="C126" s="615" t="s">
        <v>606</v>
      </c>
      <c r="D126" s="614">
        <v>300000</v>
      </c>
      <c r="E126" s="628">
        <v>0</v>
      </c>
      <c r="F126" s="90"/>
    </row>
    <row r="127" spans="2:6" ht="15.75">
      <c r="B127" s="631">
        <f t="shared" si="5"/>
        <v>0</v>
      </c>
      <c r="C127" s="615" t="s">
        <v>430</v>
      </c>
      <c r="D127" s="614">
        <v>532000</v>
      </c>
      <c r="E127" s="628">
        <v>0</v>
      </c>
      <c r="F127" s="90"/>
    </row>
    <row r="128" spans="2:6" ht="15.75">
      <c r="B128" s="631">
        <f t="shared" si="5"/>
        <v>0</v>
      </c>
      <c r="C128" s="615" t="s">
        <v>313</v>
      </c>
      <c r="D128" s="614">
        <v>230200</v>
      </c>
      <c r="E128" s="628">
        <v>0</v>
      </c>
      <c r="F128" s="90"/>
    </row>
    <row r="129" spans="2:6" ht="15.75">
      <c r="B129" s="631">
        <f t="shared" si="5"/>
        <v>310</v>
      </c>
      <c r="C129" s="615" t="s">
        <v>424</v>
      </c>
      <c r="D129" s="614">
        <v>522000</v>
      </c>
      <c r="E129" s="628">
        <v>310</v>
      </c>
      <c r="F129" s="90"/>
    </row>
    <row r="130" spans="2:6" ht="15.75">
      <c r="B130" s="631"/>
      <c r="C130" s="615"/>
      <c r="D130" s="614"/>
      <c r="E130" s="628"/>
      <c r="F130" s="90"/>
    </row>
    <row r="131" spans="2:6" ht="15.75">
      <c r="B131" s="631"/>
      <c r="C131" s="615"/>
      <c r="D131" s="614"/>
      <c r="E131" s="628"/>
      <c r="F131" s="90"/>
    </row>
    <row r="132" spans="2:6" ht="15.75">
      <c r="B132" s="631"/>
      <c r="C132" s="615"/>
      <c r="D132" s="614"/>
      <c r="E132" s="628"/>
      <c r="F132" s="90"/>
    </row>
    <row r="133" spans="2:6" ht="15.75">
      <c r="B133" s="631"/>
      <c r="C133" s="615"/>
      <c r="D133" s="614"/>
      <c r="E133" s="628"/>
      <c r="F133" s="90"/>
    </row>
    <row r="134" spans="2:6" ht="15.75">
      <c r="B134" s="628"/>
      <c r="C134" s="615"/>
      <c r="D134" s="616"/>
      <c r="E134" s="628"/>
      <c r="F134" s="90"/>
    </row>
    <row r="135" spans="2:6" ht="15.75">
      <c r="B135" s="651">
        <f>SUM(B111:B134)</f>
        <v>4797887.170000001</v>
      </c>
      <c r="C135" s="615"/>
      <c r="D135" s="617"/>
      <c r="E135" s="651">
        <f>SUM(E111:E134)</f>
        <v>4787021.25</v>
      </c>
      <c r="F135" s="549"/>
    </row>
    <row r="136" spans="2:6" ht="16.5" thickBot="1">
      <c r="B136" s="632">
        <f>SUM(B135+B110)</f>
        <v>6286536.970000001</v>
      </c>
      <c r="C136" s="618" t="s">
        <v>32</v>
      </c>
      <c r="D136" s="617"/>
      <c r="E136" s="632">
        <f>SUM(E110,E135)</f>
        <v>5620365.23</v>
      </c>
      <c r="F136" s="549"/>
    </row>
    <row r="137" ht="16.5" thickTop="1"/>
    <row r="142" spans="1:6" ht="15.75">
      <c r="A142" s="751" t="s">
        <v>155</v>
      </c>
      <c r="B142" s="751"/>
      <c r="C142" s="620"/>
      <c r="D142" s="620"/>
      <c r="E142" s="649" t="s">
        <v>157</v>
      </c>
      <c r="F142" s="304"/>
    </row>
    <row r="143" spans="1:6" ht="15.75">
      <c r="A143" s="621" t="s">
        <v>16</v>
      </c>
      <c r="B143" s="621" t="s">
        <v>156</v>
      </c>
      <c r="C143" s="621" t="s">
        <v>0</v>
      </c>
      <c r="D143" s="621" t="s">
        <v>139</v>
      </c>
      <c r="E143" s="621" t="s">
        <v>156</v>
      </c>
      <c r="F143" s="304"/>
    </row>
    <row r="144" spans="1:6" ht="15.75">
      <c r="A144" s="630" t="s">
        <v>49</v>
      </c>
      <c r="B144" s="630" t="s">
        <v>49</v>
      </c>
      <c r="C144" s="616"/>
      <c r="D144" s="616"/>
      <c r="E144" s="630" t="s">
        <v>49</v>
      </c>
      <c r="F144" s="304"/>
    </row>
    <row r="145" spans="1:6" ht="15.75">
      <c r="A145" s="628"/>
      <c r="B145" s="628"/>
      <c r="C145" s="612" t="s">
        <v>30</v>
      </c>
      <c r="D145" s="613"/>
      <c r="E145" s="652"/>
      <c r="F145" s="90"/>
    </row>
    <row r="146" spans="1:6" ht="17.25">
      <c r="A146" s="628">
        <v>1423230</v>
      </c>
      <c r="B146" s="631">
        <f>+E146+B53</f>
        <v>200997</v>
      </c>
      <c r="C146" s="613" t="s">
        <v>11</v>
      </c>
      <c r="D146" s="622">
        <v>510000</v>
      </c>
      <c r="E146" s="653">
        <v>193497</v>
      </c>
      <c r="F146" s="550"/>
    </row>
    <row r="147" spans="1:6" ht="17.25">
      <c r="A147" s="628">
        <v>2624640</v>
      </c>
      <c r="B147" s="631">
        <f aca="true" t="shared" si="6" ref="B147:B158">+E147+B54</f>
        <v>418120</v>
      </c>
      <c r="C147" s="613" t="s">
        <v>162</v>
      </c>
      <c r="D147" s="622">
        <v>521000</v>
      </c>
      <c r="E147" s="654">
        <v>209060</v>
      </c>
      <c r="F147" s="167"/>
    </row>
    <row r="148" spans="1:6" ht="17.25">
      <c r="A148" s="628">
        <f>2150000+300000+76000+750000+100000+21000+350000+50000+21000</f>
        <v>3818000</v>
      </c>
      <c r="B148" s="631">
        <f t="shared" si="6"/>
        <v>517332.57999999996</v>
      </c>
      <c r="C148" s="613" t="s">
        <v>163</v>
      </c>
      <c r="D148" s="622">
        <v>522000</v>
      </c>
      <c r="E148" s="654">
        <v>264225</v>
      </c>
      <c r="F148" s="167"/>
    </row>
    <row r="149" spans="1:6" ht="17.25">
      <c r="A149" s="628">
        <f>300000+55000</f>
        <v>355000</v>
      </c>
      <c r="B149" s="631">
        <f t="shared" si="6"/>
        <v>54570</v>
      </c>
      <c r="C149" s="613" t="s">
        <v>3</v>
      </c>
      <c r="D149" s="622">
        <v>220400</v>
      </c>
      <c r="E149" s="654">
        <v>27285</v>
      </c>
      <c r="F149" s="167"/>
    </row>
    <row r="150" spans="1:6" ht="17.25">
      <c r="A150" s="628">
        <f>980000+580000+115000+70000+20000+10000+230000+120000</f>
        <v>2125000</v>
      </c>
      <c r="B150" s="631">
        <f t="shared" si="6"/>
        <v>346800</v>
      </c>
      <c r="C150" s="613" t="s">
        <v>4</v>
      </c>
      <c r="D150" s="622">
        <v>220600</v>
      </c>
      <c r="E150" s="654">
        <v>168900</v>
      </c>
      <c r="F150" s="167"/>
    </row>
    <row r="151" spans="1:6" ht="17.25">
      <c r="A151" s="628">
        <f>514000+160000+50000+10500+100000</f>
        <v>834500</v>
      </c>
      <c r="B151" s="631">
        <f t="shared" si="6"/>
        <v>48777</v>
      </c>
      <c r="C151" s="613" t="s">
        <v>5</v>
      </c>
      <c r="D151" s="622">
        <v>531000</v>
      </c>
      <c r="E151" s="654">
        <v>5794</v>
      </c>
      <c r="F151" s="167"/>
    </row>
    <row r="152" spans="1:6" ht="17.25">
      <c r="A152" s="628">
        <f>1215000+160000+170000+160000+1200630+100000+80000+50000+700000+395000+550000+420000+100000+30000+150000</f>
        <v>5480630</v>
      </c>
      <c r="B152" s="631">
        <f t="shared" si="6"/>
        <v>481042.15</v>
      </c>
      <c r="C152" s="613" t="s">
        <v>6</v>
      </c>
      <c r="D152" s="622">
        <v>532000</v>
      </c>
      <c r="E152" s="654">
        <v>428519.9</v>
      </c>
      <c r="F152" s="167"/>
    </row>
    <row r="153" spans="1:6" ht="17.25">
      <c r="A153" s="628">
        <f>780000+100000+32500+2054500+100000+100000+180000+680000+50000+50000</f>
        <v>4127000</v>
      </c>
      <c r="B153" s="631">
        <f t="shared" si="6"/>
        <v>114599</v>
      </c>
      <c r="C153" s="613" t="s">
        <v>7</v>
      </c>
      <c r="D153" s="622">
        <v>533000</v>
      </c>
      <c r="E153" s="654">
        <v>106769</v>
      </c>
      <c r="F153" s="167"/>
    </row>
    <row r="154" spans="1:6" ht="17.25">
      <c r="A154" s="628">
        <f>460000+470000</f>
        <v>930000</v>
      </c>
      <c r="B154" s="631">
        <f t="shared" si="6"/>
        <v>89372.67</v>
      </c>
      <c r="C154" s="613" t="s">
        <v>8</v>
      </c>
      <c r="D154" s="622">
        <v>534000</v>
      </c>
      <c r="E154" s="654">
        <v>3646.09</v>
      </c>
      <c r="F154" s="167"/>
    </row>
    <row r="155" spans="1:6" ht="17.25">
      <c r="A155" s="628">
        <f>150000+148000+92000+100000</f>
        <v>490000</v>
      </c>
      <c r="B155" s="631">
        <f t="shared" si="6"/>
        <v>7900</v>
      </c>
      <c r="C155" s="613" t="s">
        <v>9</v>
      </c>
      <c r="D155" s="622">
        <v>541000</v>
      </c>
      <c r="E155" s="654">
        <v>7900</v>
      </c>
      <c r="F155" s="167"/>
    </row>
    <row r="156" spans="1:6" ht="17.25">
      <c r="A156" s="628">
        <f>743200+97100+3552900</f>
        <v>4393200</v>
      </c>
      <c r="B156" s="631">
        <f t="shared" si="6"/>
        <v>98500</v>
      </c>
      <c r="C156" s="613" t="s">
        <v>10</v>
      </c>
      <c r="D156" s="622">
        <v>542000</v>
      </c>
      <c r="E156" s="654">
        <v>98500</v>
      </c>
      <c r="F156" s="167"/>
    </row>
    <row r="157" spans="1:6" ht="17.25">
      <c r="A157" s="628">
        <f>20000+3684000+240000+30000+40000+69000+10000</f>
        <v>4093000</v>
      </c>
      <c r="B157" s="631">
        <f t="shared" si="6"/>
        <v>921000</v>
      </c>
      <c r="C157" s="613" t="s">
        <v>13</v>
      </c>
      <c r="D157" s="614">
        <v>560000</v>
      </c>
      <c r="E157" s="654">
        <v>921000</v>
      </c>
      <c r="F157" s="167"/>
    </row>
    <row r="158" spans="1:6" ht="15.75">
      <c r="A158" s="628">
        <v>25000</v>
      </c>
      <c r="B158" s="631">
        <f t="shared" si="6"/>
        <v>0</v>
      </c>
      <c r="C158" s="613" t="s">
        <v>12</v>
      </c>
      <c r="D158" s="622">
        <v>550000</v>
      </c>
      <c r="E158" s="628">
        <v>0</v>
      </c>
      <c r="F158" s="90"/>
    </row>
    <row r="159" spans="1:6" ht="16.5" thickBot="1">
      <c r="A159" s="632">
        <f>SUM(A146:A158)</f>
        <v>30719200</v>
      </c>
      <c r="B159" s="632">
        <f>SUM(B146:B158)</f>
        <v>3299010.4</v>
      </c>
      <c r="C159" s="618"/>
      <c r="D159" s="613"/>
      <c r="E159" s="632">
        <f>SUM(E146:E158)</f>
        <v>2435095.99</v>
      </c>
      <c r="F159" s="549"/>
    </row>
    <row r="160" spans="1:6" ht="16.5" thickTop="1">
      <c r="A160" s="633"/>
      <c r="B160" s="631">
        <f>+E160+B67</f>
        <v>0</v>
      </c>
      <c r="C160" s="613" t="s">
        <v>602</v>
      </c>
      <c r="D160" s="622">
        <v>441000</v>
      </c>
      <c r="E160" s="628">
        <v>0</v>
      </c>
      <c r="F160" s="90"/>
    </row>
    <row r="161" spans="1:6" ht="15.75">
      <c r="A161" s="634"/>
      <c r="B161" s="631">
        <f aca="true" t="shared" si="7" ref="B161:B169">+E161+B68</f>
        <v>0</v>
      </c>
      <c r="C161" s="613" t="s">
        <v>25</v>
      </c>
      <c r="D161" s="622">
        <v>412210</v>
      </c>
      <c r="E161" s="628"/>
      <c r="F161" s="90"/>
    </row>
    <row r="162" spans="1:6" ht="15.75">
      <c r="A162" s="634"/>
      <c r="B162" s="631">
        <f t="shared" si="7"/>
        <v>0</v>
      </c>
      <c r="C162" s="613" t="s">
        <v>146</v>
      </c>
      <c r="D162" s="614">
        <v>110202</v>
      </c>
      <c r="E162" s="628">
        <v>0</v>
      </c>
      <c r="F162" s="90"/>
    </row>
    <row r="163" spans="1:6" ht="15.75">
      <c r="A163" s="634"/>
      <c r="B163" s="631">
        <f t="shared" si="7"/>
        <v>178690</v>
      </c>
      <c r="C163" s="613" t="s">
        <v>130</v>
      </c>
      <c r="D163" s="622">
        <v>110605</v>
      </c>
      <c r="E163" s="628">
        <v>37340</v>
      </c>
      <c r="F163" s="90"/>
    </row>
    <row r="164" spans="1:6" ht="15.75">
      <c r="A164" s="634"/>
      <c r="B164" s="631">
        <f t="shared" si="7"/>
        <v>0</v>
      </c>
      <c r="C164" s="613" t="s">
        <v>440</v>
      </c>
      <c r="D164" s="622">
        <v>110609</v>
      </c>
      <c r="E164" s="628">
        <v>0</v>
      </c>
      <c r="F164" s="90"/>
    </row>
    <row r="165" spans="1:6" ht="15.75">
      <c r="A165" s="634"/>
      <c r="B165" s="631">
        <f t="shared" si="7"/>
        <v>1958740</v>
      </c>
      <c r="C165" s="613" t="s">
        <v>152</v>
      </c>
      <c r="D165" s="614">
        <v>110606</v>
      </c>
      <c r="E165" s="628">
        <v>978840</v>
      </c>
      <c r="F165" s="90"/>
    </row>
    <row r="166" spans="1:6" ht="15.75">
      <c r="A166" s="634"/>
      <c r="B166" s="631">
        <f t="shared" si="7"/>
        <v>19242.12</v>
      </c>
      <c r="C166" s="613" t="s">
        <v>26</v>
      </c>
      <c r="D166" s="614">
        <v>230102</v>
      </c>
      <c r="E166" s="628">
        <v>1623.51</v>
      </c>
      <c r="F166" s="90"/>
    </row>
    <row r="167" spans="1:6" ht="15.75">
      <c r="A167" s="634"/>
      <c r="B167" s="631">
        <f t="shared" si="7"/>
        <v>8490</v>
      </c>
      <c r="C167" s="613" t="s">
        <v>364</v>
      </c>
      <c r="D167" s="614">
        <v>230108</v>
      </c>
      <c r="E167" s="628">
        <v>0</v>
      </c>
      <c r="F167" s="90"/>
    </row>
    <row r="168" spans="1:6" ht="15.75">
      <c r="A168" s="634"/>
      <c r="B168" s="631">
        <f t="shared" si="7"/>
        <v>1707.67</v>
      </c>
      <c r="C168" s="613" t="s">
        <v>88</v>
      </c>
      <c r="D168" s="623">
        <v>230199</v>
      </c>
      <c r="E168" s="628">
        <v>0</v>
      </c>
      <c r="F168" s="90"/>
    </row>
    <row r="169" spans="1:6" ht="15.75">
      <c r="A169" s="634"/>
      <c r="B169" s="631">
        <f t="shared" si="7"/>
        <v>0</v>
      </c>
      <c r="C169" s="613" t="s">
        <v>420</v>
      </c>
      <c r="D169" s="623">
        <v>230199</v>
      </c>
      <c r="E169" s="628">
        <v>0</v>
      </c>
      <c r="F169" s="90"/>
    </row>
    <row r="170" spans="1:6" ht="15.75">
      <c r="A170" s="634"/>
      <c r="B170" s="631">
        <f>+E170</f>
        <v>450</v>
      </c>
      <c r="C170" s="613" t="s">
        <v>516</v>
      </c>
      <c r="D170" s="623">
        <v>230199</v>
      </c>
      <c r="E170" s="628">
        <v>450</v>
      </c>
      <c r="F170" s="90"/>
    </row>
    <row r="171" spans="1:6" ht="15.75">
      <c r="A171" s="634"/>
      <c r="B171" s="631">
        <f>+E171+B77</f>
        <v>0</v>
      </c>
      <c r="C171" s="613" t="s">
        <v>59</v>
      </c>
      <c r="D171" s="623">
        <v>210500</v>
      </c>
      <c r="E171" s="628">
        <v>0</v>
      </c>
      <c r="F171" s="90"/>
    </row>
    <row r="172" spans="1:6" ht="15.75">
      <c r="A172" s="634"/>
      <c r="B172" s="631">
        <f>+E172+B78</f>
        <v>157910</v>
      </c>
      <c r="C172" s="613" t="s">
        <v>14</v>
      </c>
      <c r="D172" s="623">
        <v>210402</v>
      </c>
      <c r="E172" s="628">
        <v>0</v>
      </c>
      <c r="F172" s="90"/>
    </row>
    <row r="173" spans="1:6" ht="15.75">
      <c r="A173" s="634"/>
      <c r="B173" s="631">
        <f>+E173+B79</f>
        <v>7704</v>
      </c>
      <c r="C173" s="613" t="s">
        <v>15</v>
      </c>
      <c r="D173" s="614">
        <v>300000</v>
      </c>
      <c r="E173" s="628">
        <v>7704</v>
      </c>
      <c r="F173" s="90"/>
    </row>
    <row r="174" spans="1:6" ht="15.75">
      <c r="A174" s="634"/>
      <c r="B174" s="631">
        <f>+E174+B80</f>
        <v>0</v>
      </c>
      <c r="C174" s="624" t="s">
        <v>532</v>
      </c>
      <c r="D174" s="614">
        <v>441000</v>
      </c>
      <c r="E174" s="628">
        <v>0</v>
      </c>
      <c r="F174" s="90"/>
    </row>
    <row r="175" spans="1:6" ht="15.75">
      <c r="A175" s="634"/>
      <c r="B175" s="631">
        <f>+E175+B81</f>
        <v>0</v>
      </c>
      <c r="C175" s="624" t="s">
        <v>533</v>
      </c>
      <c r="D175" s="614">
        <v>441000</v>
      </c>
      <c r="E175" s="628">
        <v>0</v>
      </c>
      <c r="F175" s="90"/>
    </row>
    <row r="176" spans="1:6" ht="15.75">
      <c r="A176" s="634"/>
      <c r="B176" s="631"/>
      <c r="C176" s="624"/>
      <c r="D176" s="625"/>
      <c r="E176" s="628"/>
      <c r="F176" s="90"/>
    </row>
    <row r="177" spans="1:6" ht="15.75">
      <c r="A177" s="634"/>
      <c r="B177" s="651">
        <f>SUM(B160:B176)</f>
        <v>2332933.79</v>
      </c>
      <c r="C177" s="624"/>
      <c r="D177" s="617"/>
      <c r="E177" s="651">
        <f>SUM(E160:E176)</f>
        <v>1025957.51</v>
      </c>
      <c r="F177" s="549"/>
    </row>
    <row r="178" spans="1:6" ht="16.5" thickBot="1">
      <c r="A178" s="635"/>
      <c r="B178" s="632">
        <f>SUM(B177,B159)</f>
        <v>5631944.1899999995</v>
      </c>
      <c r="C178" s="626" t="s">
        <v>31</v>
      </c>
      <c r="D178" s="617"/>
      <c r="E178" s="632">
        <f>SUM(E177,E159)</f>
        <v>3461053.5</v>
      </c>
      <c r="F178" s="549"/>
    </row>
    <row r="179" spans="2:6" ht="16.5" thickTop="1">
      <c r="B179" s="613"/>
      <c r="C179" s="627" t="s">
        <v>164</v>
      </c>
      <c r="D179" s="617"/>
      <c r="E179" s="613"/>
      <c r="F179" s="21"/>
    </row>
    <row r="180" spans="2:6" ht="15.75">
      <c r="B180" s="655"/>
      <c r="C180" s="627" t="s">
        <v>167</v>
      </c>
      <c r="D180" s="617"/>
      <c r="E180" s="655"/>
      <c r="F180" s="551"/>
    </row>
    <row r="181" spans="2:6" ht="15.75">
      <c r="B181" s="655">
        <f>SUM(B136-B178)</f>
        <v>654592.7800000012</v>
      </c>
      <c r="C181" s="627" t="s">
        <v>165</v>
      </c>
      <c r="E181" s="655">
        <f>SUM(E136-E178)</f>
        <v>2159311.7300000004</v>
      </c>
      <c r="F181" s="551"/>
    </row>
    <row r="182" spans="2:7" ht="16.5" thickBot="1">
      <c r="B182" s="656">
        <f>SUM(B100+B136-B178)</f>
        <v>27526205.96999999</v>
      </c>
      <c r="C182" s="627" t="s">
        <v>166</v>
      </c>
      <c r="E182" s="656">
        <f>SUM(E100+E136-E178)</f>
        <v>27526205.969999988</v>
      </c>
      <c r="F182" s="103"/>
      <c r="G182" s="151">
        <f>+งบดุลบัญชี!Q5</f>
        <v>27526205.830000006</v>
      </c>
    </row>
    <row r="183" spans="2:7" ht="16.5" thickTop="1">
      <c r="B183" s="657"/>
      <c r="C183" s="627"/>
      <c r="E183" s="657"/>
      <c r="F183" s="103"/>
      <c r="G183" s="151">
        <f>+E182-G182</f>
        <v>0.13999998196959496</v>
      </c>
    </row>
    <row r="185" spans="1:6" ht="15.75">
      <c r="A185" s="749" t="s">
        <v>33</v>
      </c>
      <c r="B185" s="749"/>
      <c r="C185" s="673" t="str">
        <f>+A185</f>
        <v>(นายวสันต์  ไทรแก้ว)</v>
      </c>
      <c r="D185" s="749" t="s">
        <v>411</v>
      </c>
      <c r="E185" s="749"/>
      <c r="F185" s="542"/>
    </row>
    <row r="186" spans="1:6" ht="15.75">
      <c r="A186" s="749" t="s">
        <v>389</v>
      </c>
      <c r="B186" s="749"/>
      <c r="C186" s="673" t="s">
        <v>289</v>
      </c>
      <c r="D186" s="749" t="s">
        <v>38</v>
      </c>
      <c r="E186" s="749"/>
      <c r="F186" s="542"/>
    </row>
    <row r="187" spans="1:6" ht="15.75">
      <c r="A187" s="749" t="s">
        <v>36</v>
      </c>
      <c r="B187" s="749"/>
      <c r="D187" s="749"/>
      <c r="E187" s="749"/>
      <c r="F187" s="542"/>
    </row>
    <row r="188" spans="1:6" ht="15.75">
      <c r="A188" s="629" t="s">
        <v>29</v>
      </c>
      <c r="D188" s="672" t="s">
        <v>158</v>
      </c>
      <c r="E188" s="648" t="s">
        <v>637</v>
      </c>
      <c r="F188" s="114"/>
    </row>
    <row r="189" spans="1:6" ht="15.75">
      <c r="A189" s="750" t="s">
        <v>154</v>
      </c>
      <c r="B189" s="750"/>
      <c r="C189" s="750"/>
      <c r="D189" s="750"/>
      <c r="E189" s="750"/>
      <c r="F189" s="543"/>
    </row>
    <row r="190" spans="5:6" ht="15.75">
      <c r="E190" s="627" t="s">
        <v>603</v>
      </c>
      <c r="F190" s="543"/>
    </row>
    <row r="191" spans="1:6" ht="15.75">
      <c r="A191" s="751" t="s">
        <v>155</v>
      </c>
      <c r="B191" s="751"/>
      <c r="C191" s="620"/>
      <c r="D191" s="620"/>
      <c r="E191" s="649" t="s">
        <v>157</v>
      </c>
      <c r="F191" s="304"/>
    </row>
    <row r="192" spans="1:6" ht="15.75">
      <c r="A192" s="621" t="s">
        <v>16</v>
      </c>
      <c r="B192" s="621" t="s">
        <v>156</v>
      </c>
      <c r="C192" s="621" t="s">
        <v>0</v>
      </c>
      <c r="D192" s="621" t="s">
        <v>139</v>
      </c>
      <c r="E192" s="621" t="s">
        <v>156</v>
      </c>
      <c r="F192" s="304"/>
    </row>
    <row r="193" spans="1:6" ht="15.75">
      <c r="A193" s="630" t="s">
        <v>49</v>
      </c>
      <c r="B193" s="630" t="s">
        <v>49</v>
      </c>
      <c r="C193" s="616"/>
      <c r="D193" s="616"/>
      <c r="E193" s="630" t="s">
        <v>49</v>
      </c>
      <c r="F193" s="304"/>
    </row>
    <row r="194" spans="1:6" ht="15.75">
      <c r="A194" s="628"/>
      <c r="B194" s="650">
        <v>26871613.18999999</v>
      </c>
      <c r="C194" s="612" t="s">
        <v>159</v>
      </c>
      <c r="D194" s="613"/>
      <c r="E194" s="650">
        <f>+E182</f>
        <v>27526205.969999988</v>
      </c>
      <c r="F194" s="549"/>
    </row>
    <row r="195" spans="1:6" ht="15.75">
      <c r="A195" s="628"/>
      <c r="B195" s="628"/>
      <c r="C195" s="612" t="s">
        <v>160</v>
      </c>
      <c r="D195" s="613"/>
      <c r="E195" s="628"/>
      <c r="F195" s="90"/>
    </row>
    <row r="196" spans="1:6" ht="15.75">
      <c r="A196" s="631">
        <v>191000</v>
      </c>
      <c r="B196" s="631">
        <f>+E196+B102</f>
        <v>34.5</v>
      </c>
      <c r="C196" s="613" t="s">
        <v>19</v>
      </c>
      <c r="D196" s="614">
        <v>411000</v>
      </c>
      <c r="E196" s="628">
        <v>0</v>
      </c>
      <c r="F196" s="90"/>
    </row>
    <row r="197" spans="1:6" ht="15.75">
      <c r="A197" s="631">
        <v>186700</v>
      </c>
      <c r="B197" s="631">
        <f aca="true" t="shared" si="8" ref="B197:B203">+E197+B103</f>
        <v>38690</v>
      </c>
      <c r="C197" s="613" t="s">
        <v>357</v>
      </c>
      <c r="D197" s="614">
        <v>412000</v>
      </c>
      <c r="E197" s="628">
        <v>16420</v>
      </c>
      <c r="F197" s="90"/>
    </row>
    <row r="198" spans="1:6" ht="15.75">
      <c r="A198" s="631">
        <v>291000</v>
      </c>
      <c r="B198" s="631">
        <f t="shared" si="8"/>
        <v>114354.21</v>
      </c>
      <c r="C198" s="613" t="s">
        <v>21</v>
      </c>
      <c r="D198" s="614">
        <v>413000</v>
      </c>
      <c r="E198" s="628">
        <v>114354.21</v>
      </c>
      <c r="F198" s="90"/>
    </row>
    <row r="199" spans="1:6" ht="15.75">
      <c r="A199" s="631">
        <v>180000</v>
      </c>
      <c r="B199" s="631">
        <f t="shared" si="8"/>
        <v>62225</v>
      </c>
      <c r="C199" s="613" t="s">
        <v>23</v>
      </c>
      <c r="D199" s="614">
        <v>414000</v>
      </c>
      <c r="E199" s="628">
        <v>15260</v>
      </c>
      <c r="F199" s="90"/>
    </row>
    <row r="200" spans="1:6" ht="15.75">
      <c r="A200" s="631">
        <v>120000</v>
      </c>
      <c r="B200" s="631">
        <f t="shared" si="8"/>
        <v>13630</v>
      </c>
      <c r="C200" s="613" t="s">
        <v>20</v>
      </c>
      <c r="D200" s="614">
        <v>415000</v>
      </c>
      <c r="E200" s="628">
        <v>420</v>
      </c>
      <c r="F200" s="90"/>
    </row>
    <row r="201" spans="1:6" ht="15.75">
      <c r="A201" s="631">
        <v>500</v>
      </c>
      <c r="B201" s="631">
        <f t="shared" si="8"/>
        <v>0</v>
      </c>
      <c r="C201" s="613" t="s">
        <v>125</v>
      </c>
      <c r="D201" s="614">
        <v>416000</v>
      </c>
      <c r="E201" s="628">
        <v>0</v>
      </c>
      <c r="F201" s="90"/>
    </row>
    <row r="202" spans="1:6" ht="15.75">
      <c r="A202" s="631">
        <v>12750000</v>
      </c>
      <c r="B202" s="631">
        <f t="shared" si="8"/>
        <v>1523579.7499999998</v>
      </c>
      <c r="C202" s="613" t="s">
        <v>50</v>
      </c>
      <c r="D202" s="614">
        <v>421000</v>
      </c>
      <c r="E202" s="628">
        <v>117409.45</v>
      </c>
      <c r="F202" s="90"/>
    </row>
    <row r="203" spans="1:6" ht="15.75">
      <c r="A203" s="631">
        <v>17000000</v>
      </c>
      <c r="B203" s="631">
        <f t="shared" si="8"/>
        <v>16388734</v>
      </c>
      <c r="C203" s="613" t="s">
        <v>22</v>
      </c>
      <c r="D203" s="614">
        <v>431002</v>
      </c>
      <c r="E203" s="628">
        <v>16388734</v>
      </c>
      <c r="F203" s="90"/>
    </row>
    <row r="204" spans="1:6" ht="16.5" thickBot="1">
      <c r="A204" s="632">
        <f>SUM(A196:A203)</f>
        <v>30719200</v>
      </c>
      <c r="B204" s="632">
        <f>SUM(B196:B203)</f>
        <v>18141247.46</v>
      </c>
      <c r="C204" s="613"/>
      <c r="D204" s="614"/>
      <c r="E204" s="632">
        <f>SUM(E196:E203)</f>
        <v>16652597.66</v>
      </c>
      <c r="F204" s="549"/>
    </row>
    <row r="205" spans="1:6" ht="16.5" thickTop="1">
      <c r="A205" s="633"/>
      <c r="B205" s="631">
        <f>+E205+B111</f>
        <v>0</v>
      </c>
      <c r="C205" s="613" t="s">
        <v>71</v>
      </c>
      <c r="D205" s="614">
        <v>441000</v>
      </c>
      <c r="E205" s="628">
        <v>0</v>
      </c>
      <c r="F205" s="90"/>
    </row>
    <row r="206" spans="1:6" ht="15.75">
      <c r="A206" s="634"/>
      <c r="B206" s="631">
        <f aca="true" t="shared" si="9" ref="B206:B223">+E206+B112</f>
        <v>5303400</v>
      </c>
      <c r="C206" s="613" t="s">
        <v>124</v>
      </c>
      <c r="D206" s="614">
        <v>441000</v>
      </c>
      <c r="E206" s="628">
        <v>522000</v>
      </c>
      <c r="F206" s="90"/>
    </row>
    <row r="207" spans="1:6" ht="15.75">
      <c r="A207" s="634"/>
      <c r="B207" s="631">
        <f t="shared" si="9"/>
        <v>5673.78</v>
      </c>
      <c r="C207" s="613" t="s">
        <v>26</v>
      </c>
      <c r="D207" s="614">
        <v>230102</v>
      </c>
      <c r="E207" s="628">
        <v>1982.63</v>
      </c>
      <c r="F207" s="90"/>
    </row>
    <row r="208" spans="1:6" ht="15.75">
      <c r="A208" s="617"/>
      <c r="B208" s="631">
        <f t="shared" si="9"/>
        <v>7.76</v>
      </c>
      <c r="C208" s="613" t="s">
        <v>161</v>
      </c>
      <c r="D208" s="614">
        <v>230105</v>
      </c>
      <c r="E208" s="628">
        <v>0</v>
      </c>
      <c r="F208" s="90"/>
    </row>
    <row r="209" spans="1:6" ht="15.75">
      <c r="A209" s="624"/>
      <c r="B209" s="631">
        <f t="shared" si="9"/>
        <v>201596</v>
      </c>
      <c r="C209" s="613" t="s">
        <v>27</v>
      </c>
      <c r="D209" s="614">
        <v>230108</v>
      </c>
      <c r="E209" s="628">
        <v>195594</v>
      </c>
      <c r="F209" s="90"/>
    </row>
    <row r="210" spans="1:6" ht="15.75">
      <c r="A210" s="624"/>
      <c r="B210" s="631">
        <f t="shared" si="9"/>
        <v>0</v>
      </c>
      <c r="C210" s="613" t="s">
        <v>353</v>
      </c>
      <c r="D210" s="614">
        <v>230199</v>
      </c>
      <c r="E210" s="628">
        <v>0</v>
      </c>
      <c r="F210" s="90"/>
    </row>
    <row r="211" spans="1:6" ht="15.75">
      <c r="A211" s="624"/>
      <c r="B211" s="631">
        <f t="shared" si="9"/>
        <v>3148.61</v>
      </c>
      <c r="C211" s="615" t="s">
        <v>88</v>
      </c>
      <c r="D211" s="614">
        <v>230199</v>
      </c>
      <c r="E211" s="628">
        <v>0</v>
      </c>
      <c r="F211" s="90"/>
    </row>
    <row r="212" spans="1:6" ht="15.75">
      <c r="A212" s="624"/>
      <c r="B212" s="631">
        <f t="shared" si="9"/>
        <v>112.65</v>
      </c>
      <c r="C212" s="613" t="s">
        <v>57</v>
      </c>
      <c r="D212" s="614">
        <v>110602</v>
      </c>
      <c r="E212" s="628">
        <v>0</v>
      </c>
      <c r="F212" s="90"/>
    </row>
    <row r="213" spans="2:6" ht="15.75">
      <c r="B213" s="631">
        <f t="shared" si="9"/>
        <v>1815</v>
      </c>
      <c r="C213" s="613" t="s">
        <v>60</v>
      </c>
      <c r="D213" s="614">
        <v>110604</v>
      </c>
      <c r="E213" s="628">
        <v>0</v>
      </c>
      <c r="F213" s="90"/>
    </row>
    <row r="214" spans="2:6" ht="15.75">
      <c r="B214" s="631">
        <f t="shared" si="9"/>
        <v>0</v>
      </c>
      <c r="C214" s="613" t="s">
        <v>130</v>
      </c>
      <c r="D214" s="614">
        <v>110605</v>
      </c>
      <c r="E214" s="628">
        <v>0</v>
      </c>
      <c r="F214" s="90"/>
    </row>
    <row r="215" spans="2:6" ht="15.75">
      <c r="B215" s="631">
        <f t="shared" si="9"/>
        <v>0</v>
      </c>
      <c r="C215" s="613" t="s">
        <v>152</v>
      </c>
      <c r="D215" s="614">
        <v>110606</v>
      </c>
      <c r="E215" s="628">
        <v>0</v>
      </c>
      <c r="F215" s="90"/>
    </row>
    <row r="216" spans="2:6" ht="15.75">
      <c r="B216" s="631">
        <f t="shared" si="9"/>
        <v>0</v>
      </c>
      <c r="C216" s="615" t="s">
        <v>360</v>
      </c>
      <c r="D216" s="614">
        <v>300000</v>
      </c>
      <c r="E216" s="628">
        <v>0</v>
      </c>
      <c r="F216" s="90"/>
    </row>
    <row r="217" spans="2:6" ht="15.75">
      <c r="B217" s="631">
        <f t="shared" si="9"/>
        <v>700</v>
      </c>
      <c r="C217" s="615" t="s">
        <v>361</v>
      </c>
      <c r="D217" s="614">
        <v>441000</v>
      </c>
      <c r="E217" s="628">
        <v>700</v>
      </c>
      <c r="F217" s="90"/>
    </row>
    <row r="218" spans="2:6" ht="15.75">
      <c r="B218" s="631">
        <f t="shared" si="9"/>
        <v>0</v>
      </c>
      <c r="C218" s="615" t="s">
        <v>367</v>
      </c>
      <c r="D218" s="614">
        <v>441000</v>
      </c>
      <c r="E218" s="628">
        <v>0</v>
      </c>
      <c r="F218" s="90"/>
    </row>
    <row r="219" spans="2:6" ht="15.75">
      <c r="B219" s="631">
        <f t="shared" si="9"/>
        <v>0</v>
      </c>
      <c r="C219" s="615" t="s">
        <v>426</v>
      </c>
      <c r="D219" s="614">
        <v>441000</v>
      </c>
      <c r="E219" s="628">
        <v>0</v>
      </c>
      <c r="F219" s="90"/>
    </row>
    <row r="220" spans="2:6" ht="15.75">
      <c r="B220" s="631">
        <f t="shared" si="9"/>
        <v>1400</v>
      </c>
      <c r="C220" s="615" t="s">
        <v>606</v>
      </c>
      <c r="D220" s="614">
        <v>300000</v>
      </c>
      <c r="E220" s="628">
        <v>0</v>
      </c>
      <c r="F220" s="90"/>
    </row>
    <row r="221" spans="2:6" ht="15.75">
      <c r="B221" s="631">
        <f t="shared" si="9"/>
        <v>0</v>
      </c>
      <c r="C221" s="615" t="s">
        <v>430</v>
      </c>
      <c r="D221" s="614">
        <v>532000</v>
      </c>
      <c r="E221" s="628">
        <v>0</v>
      </c>
      <c r="F221" s="90"/>
    </row>
    <row r="222" spans="2:6" ht="15.75">
      <c r="B222" s="631">
        <f t="shared" si="9"/>
        <v>0</v>
      </c>
      <c r="C222" s="615" t="s">
        <v>313</v>
      </c>
      <c r="D222" s="614">
        <v>230200</v>
      </c>
      <c r="E222" s="628">
        <v>0</v>
      </c>
      <c r="F222" s="90"/>
    </row>
    <row r="223" spans="2:6" ht="15.75">
      <c r="B223" s="631">
        <f t="shared" si="9"/>
        <v>310</v>
      </c>
      <c r="C223" s="615" t="s">
        <v>424</v>
      </c>
      <c r="D223" s="614">
        <v>522000</v>
      </c>
      <c r="E223" s="628">
        <v>0</v>
      </c>
      <c r="F223" s="90"/>
    </row>
    <row r="224" spans="2:6" ht="15.75">
      <c r="B224" s="631">
        <f>+E224</f>
        <v>9960</v>
      </c>
      <c r="C224" s="615" t="s">
        <v>473</v>
      </c>
      <c r="D224" s="614">
        <v>110605</v>
      </c>
      <c r="E224" s="628">
        <v>9960</v>
      </c>
      <c r="F224" s="90"/>
    </row>
    <row r="225" spans="2:6" ht="15.75">
      <c r="B225" s="631"/>
      <c r="C225" s="615"/>
      <c r="D225" s="614"/>
      <c r="E225" s="628"/>
      <c r="F225" s="90"/>
    </row>
    <row r="226" spans="2:6" ht="15.75">
      <c r="B226" s="631"/>
      <c r="C226" s="615"/>
      <c r="D226" s="614"/>
      <c r="E226" s="628"/>
      <c r="F226" s="90"/>
    </row>
    <row r="227" spans="2:6" ht="15.75">
      <c r="B227" s="631"/>
      <c r="C227" s="615"/>
      <c r="D227" s="614"/>
      <c r="E227" s="628"/>
      <c r="F227" s="90"/>
    </row>
    <row r="228" spans="2:6" ht="15.75">
      <c r="B228" s="628"/>
      <c r="C228" s="615"/>
      <c r="D228" s="616"/>
      <c r="E228" s="628"/>
      <c r="F228" s="90"/>
    </row>
    <row r="229" spans="2:6" ht="15.75">
      <c r="B229" s="651">
        <f>SUM(B205:B228)</f>
        <v>5528123.800000001</v>
      </c>
      <c r="C229" s="615"/>
      <c r="D229" s="617"/>
      <c r="E229" s="651">
        <f>SUM(E205:E228)</f>
        <v>730236.63</v>
      </c>
      <c r="F229" s="549"/>
    </row>
    <row r="230" spans="2:6" ht="16.5" thickBot="1">
      <c r="B230" s="632">
        <f>SUM(B229+B204)</f>
        <v>23669371.26</v>
      </c>
      <c r="C230" s="618" t="s">
        <v>32</v>
      </c>
      <c r="D230" s="617"/>
      <c r="E230" s="632">
        <f>SUM(E204,E229)</f>
        <v>17382834.29</v>
      </c>
      <c r="F230" s="549"/>
    </row>
    <row r="231" ht="16.5" thickTop="1"/>
    <row r="236" spans="1:6" ht="15.75">
      <c r="A236" s="751" t="s">
        <v>155</v>
      </c>
      <c r="B236" s="751"/>
      <c r="C236" s="620"/>
      <c r="D236" s="620"/>
      <c r="E236" s="649" t="s">
        <v>157</v>
      </c>
      <c r="F236" s="304"/>
    </row>
    <row r="237" spans="1:6" ht="15.75">
      <c r="A237" s="621" t="s">
        <v>16</v>
      </c>
      <c r="B237" s="621" t="s">
        <v>156</v>
      </c>
      <c r="C237" s="621" t="s">
        <v>0</v>
      </c>
      <c r="D237" s="621" t="s">
        <v>139</v>
      </c>
      <c r="E237" s="621" t="s">
        <v>156</v>
      </c>
      <c r="F237" s="304"/>
    </row>
    <row r="238" spans="1:6" ht="15.75">
      <c r="A238" s="630" t="s">
        <v>49</v>
      </c>
      <c r="B238" s="630" t="s">
        <v>49</v>
      </c>
      <c r="C238" s="616"/>
      <c r="D238" s="616"/>
      <c r="E238" s="630" t="s">
        <v>49</v>
      </c>
      <c r="F238" s="304"/>
    </row>
    <row r="239" spans="1:6" ht="15.75">
      <c r="A239" s="628"/>
      <c r="B239" s="628"/>
      <c r="C239" s="612" t="s">
        <v>30</v>
      </c>
      <c r="D239" s="613"/>
      <c r="E239" s="652"/>
      <c r="F239" s="90"/>
    </row>
    <row r="240" spans="1:6" ht="17.25">
      <c r="A240" s="628">
        <v>1423230</v>
      </c>
      <c r="B240" s="631">
        <f>+E240+B146</f>
        <v>559987.61</v>
      </c>
      <c r="C240" s="613" t="s">
        <v>11</v>
      </c>
      <c r="D240" s="622">
        <v>510000</v>
      </c>
      <c r="E240" s="653">
        <v>358990.61</v>
      </c>
      <c r="F240" s="550"/>
    </row>
    <row r="241" spans="1:6" ht="17.25">
      <c r="A241" s="628">
        <v>2624640</v>
      </c>
      <c r="B241" s="631">
        <f aca="true" t="shared" si="10" ref="B241:B252">+E241+B147</f>
        <v>646178</v>
      </c>
      <c r="C241" s="613" t="s">
        <v>162</v>
      </c>
      <c r="D241" s="622">
        <v>521000</v>
      </c>
      <c r="E241" s="654">
        <v>228058</v>
      </c>
      <c r="F241" s="167"/>
    </row>
    <row r="242" spans="1:6" ht="17.25">
      <c r="A242" s="628">
        <f>2150000+300000+76000+750000+100000+21000+350000+50000+21000</f>
        <v>3818000</v>
      </c>
      <c r="B242" s="631">
        <f t="shared" si="10"/>
        <v>788247.58</v>
      </c>
      <c r="C242" s="613" t="s">
        <v>163</v>
      </c>
      <c r="D242" s="622">
        <v>522000</v>
      </c>
      <c r="E242" s="654">
        <v>270915</v>
      </c>
      <c r="F242" s="167"/>
    </row>
    <row r="243" spans="1:6" ht="17.25">
      <c r="A243" s="628">
        <f>300000+55000</f>
        <v>355000</v>
      </c>
      <c r="B243" s="631">
        <f t="shared" si="10"/>
        <v>81855</v>
      </c>
      <c r="C243" s="613" t="s">
        <v>3</v>
      </c>
      <c r="D243" s="622">
        <v>220400</v>
      </c>
      <c r="E243" s="654">
        <v>27285</v>
      </c>
      <c r="F243" s="167"/>
    </row>
    <row r="244" spans="1:6" ht="17.25">
      <c r="A244" s="628">
        <f>980000+580000+115000+70000+20000+10000+230000+120000</f>
        <v>2125000</v>
      </c>
      <c r="B244" s="631">
        <f t="shared" si="10"/>
        <v>506700</v>
      </c>
      <c r="C244" s="613" t="s">
        <v>4</v>
      </c>
      <c r="D244" s="622">
        <v>220600</v>
      </c>
      <c r="E244" s="654">
        <v>159900</v>
      </c>
      <c r="F244" s="167"/>
    </row>
    <row r="245" spans="1:6" ht="17.25">
      <c r="A245" s="628">
        <f>514000+160000+50000+10500+100000</f>
        <v>834500</v>
      </c>
      <c r="B245" s="631">
        <f t="shared" si="10"/>
        <v>74035</v>
      </c>
      <c r="C245" s="613" t="s">
        <v>5</v>
      </c>
      <c r="D245" s="622">
        <v>531000</v>
      </c>
      <c r="E245" s="654">
        <v>25258</v>
      </c>
      <c r="F245" s="167"/>
    </row>
    <row r="246" spans="1:6" ht="17.25">
      <c r="A246" s="628">
        <f>1215000+160000+170000+160000+1200630+100000+80000+50000+700000+395000+550000+420000+100000+30000+150000</f>
        <v>5480630</v>
      </c>
      <c r="B246" s="631">
        <f t="shared" si="10"/>
        <v>835033.15</v>
      </c>
      <c r="C246" s="613" t="s">
        <v>6</v>
      </c>
      <c r="D246" s="622">
        <v>532000</v>
      </c>
      <c r="E246" s="654">
        <v>353991</v>
      </c>
      <c r="F246" s="167"/>
    </row>
    <row r="247" spans="1:6" ht="17.25">
      <c r="A247" s="628">
        <f>780000+100000+32500+2054500+100000+100000+180000+680000+50000+50000</f>
        <v>4127000</v>
      </c>
      <c r="B247" s="631">
        <f t="shared" si="10"/>
        <v>202049</v>
      </c>
      <c r="C247" s="613" t="s">
        <v>7</v>
      </c>
      <c r="D247" s="622">
        <v>533000</v>
      </c>
      <c r="E247" s="654">
        <v>87450</v>
      </c>
      <c r="F247" s="167"/>
    </row>
    <row r="248" spans="1:6" ht="17.25">
      <c r="A248" s="628">
        <f>460000+470000</f>
        <v>930000</v>
      </c>
      <c r="B248" s="631">
        <f t="shared" si="10"/>
        <v>160362.01</v>
      </c>
      <c r="C248" s="613" t="s">
        <v>8</v>
      </c>
      <c r="D248" s="622">
        <v>534000</v>
      </c>
      <c r="E248" s="654">
        <v>70989.34</v>
      </c>
      <c r="F248" s="167"/>
    </row>
    <row r="249" spans="1:6" ht="17.25">
      <c r="A249" s="628">
        <f>150000+148000+92000+100000</f>
        <v>490000</v>
      </c>
      <c r="B249" s="631">
        <f t="shared" si="10"/>
        <v>7900</v>
      </c>
      <c r="C249" s="613" t="s">
        <v>9</v>
      </c>
      <c r="D249" s="622">
        <v>541000</v>
      </c>
      <c r="E249" s="654">
        <v>0</v>
      </c>
      <c r="F249" s="167"/>
    </row>
    <row r="250" spans="1:6" ht="17.25">
      <c r="A250" s="628">
        <f>743200+97100+3552900</f>
        <v>4393200</v>
      </c>
      <c r="B250" s="631">
        <f t="shared" si="10"/>
        <v>98500</v>
      </c>
      <c r="C250" s="613" t="s">
        <v>10</v>
      </c>
      <c r="D250" s="622">
        <v>542000</v>
      </c>
      <c r="E250" s="654">
        <v>0</v>
      </c>
      <c r="F250" s="167"/>
    </row>
    <row r="251" spans="1:6" ht="17.25">
      <c r="A251" s="628">
        <f>20000+3684000+240000+30000+40000+69000+10000</f>
        <v>4093000</v>
      </c>
      <c r="B251" s="631">
        <f t="shared" si="10"/>
        <v>1012000</v>
      </c>
      <c r="C251" s="613" t="s">
        <v>13</v>
      </c>
      <c r="D251" s="614">
        <v>560000</v>
      </c>
      <c r="E251" s="654">
        <v>91000</v>
      </c>
      <c r="F251" s="167"/>
    </row>
    <row r="252" spans="1:6" ht="15.75">
      <c r="A252" s="628">
        <v>25000</v>
      </c>
      <c r="B252" s="631">
        <f t="shared" si="10"/>
        <v>0</v>
      </c>
      <c r="C252" s="613" t="s">
        <v>12</v>
      </c>
      <c r="D252" s="622">
        <v>550000</v>
      </c>
      <c r="E252" s="628">
        <v>0</v>
      </c>
      <c r="F252" s="90"/>
    </row>
    <row r="253" spans="1:6" ht="16.5" thickBot="1">
      <c r="A253" s="632">
        <f>SUM(A240:A252)</f>
        <v>30719200</v>
      </c>
      <c r="B253" s="632">
        <f>SUM(B240:B252)</f>
        <v>4972847.35</v>
      </c>
      <c r="C253" s="618"/>
      <c r="D253" s="613"/>
      <c r="E253" s="632">
        <f>SUM(E240:E252)</f>
        <v>1673836.95</v>
      </c>
      <c r="F253" s="549"/>
    </row>
    <row r="254" spans="1:6" ht="16.5" thickTop="1">
      <c r="A254" s="633"/>
      <c r="B254" s="631">
        <f>+E254+B160</f>
        <v>146000</v>
      </c>
      <c r="C254" s="613" t="s">
        <v>602</v>
      </c>
      <c r="D254" s="622">
        <v>441000</v>
      </c>
      <c r="E254" s="628">
        <v>146000</v>
      </c>
      <c r="F254" s="90"/>
    </row>
    <row r="255" spans="1:6" ht="15.75">
      <c r="A255" s="634"/>
      <c r="B255" s="631">
        <f aca="true" t="shared" si="11" ref="B255:B269">+E255+B161</f>
        <v>0</v>
      </c>
      <c r="C255" s="613" t="s">
        <v>25</v>
      </c>
      <c r="D255" s="622">
        <v>412210</v>
      </c>
      <c r="E255" s="628">
        <v>0</v>
      </c>
      <c r="F255" s="90"/>
    </row>
    <row r="256" spans="1:6" ht="15.75">
      <c r="A256" s="634"/>
      <c r="B256" s="631">
        <f t="shared" si="11"/>
        <v>530364.33</v>
      </c>
      <c r="C256" s="613" t="s">
        <v>146</v>
      </c>
      <c r="D256" s="614">
        <v>110202</v>
      </c>
      <c r="E256" s="628">
        <v>530364.33</v>
      </c>
      <c r="F256" s="90"/>
    </row>
    <row r="257" spans="1:6" ht="15.75">
      <c r="A257" s="634"/>
      <c r="B257" s="631">
        <f t="shared" si="11"/>
        <v>204650</v>
      </c>
      <c r="C257" s="613" t="s">
        <v>130</v>
      </c>
      <c r="D257" s="622">
        <v>110605</v>
      </c>
      <c r="E257" s="628">
        <v>25960</v>
      </c>
      <c r="F257" s="90"/>
    </row>
    <row r="258" spans="1:6" ht="15.75">
      <c r="A258" s="634"/>
      <c r="B258" s="631">
        <f t="shared" si="11"/>
        <v>646400</v>
      </c>
      <c r="C258" s="613" t="s">
        <v>440</v>
      </c>
      <c r="D258" s="622">
        <v>110609</v>
      </c>
      <c r="E258" s="628">
        <v>646400</v>
      </c>
      <c r="F258" s="90"/>
    </row>
    <row r="259" spans="1:6" ht="15.75">
      <c r="A259" s="634"/>
      <c r="B259" s="631">
        <f t="shared" si="11"/>
        <v>2143180</v>
      </c>
      <c r="C259" s="613" t="s">
        <v>152</v>
      </c>
      <c r="D259" s="614">
        <v>110606</v>
      </c>
      <c r="E259" s="628">
        <v>184440</v>
      </c>
      <c r="F259" s="90"/>
    </row>
    <row r="260" spans="1:6" ht="15.75">
      <c r="A260" s="634"/>
      <c r="B260" s="631">
        <f t="shared" si="11"/>
        <v>21309.76</v>
      </c>
      <c r="C260" s="613" t="s">
        <v>26</v>
      </c>
      <c r="D260" s="614">
        <v>230102</v>
      </c>
      <c r="E260" s="628">
        <v>2067.64</v>
      </c>
      <c r="F260" s="90"/>
    </row>
    <row r="261" spans="1:6" ht="15.75">
      <c r="A261" s="634"/>
      <c r="B261" s="631">
        <f t="shared" si="11"/>
        <v>25393</v>
      </c>
      <c r="C261" s="613" t="s">
        <v>364</v>
      </c>
      <c r="D261" s="614">
        <v>230108</v>
      </c>
      <c r="E261" s="628">
        <v>16903</v>
      </c>
      <c r="F261" s="90"/>
    </row>
    <row r="262" spans="1:6" ht="15.75">
      <c r="A262" s="634"/>
      <c r="B262" s="631">
        <f t="shared" si="11"/>
        <v>1707.67</v>
      </c>
      <c r="C262" s="613" t="s">
        <v>88</v>
      </c>
      <c r="D262" s="623">
        <v>230199</v>
      </c>
      <c r="E262" s="628">
        <v>0</v>
      </c>
      <c r="F262" s="90"/>
    </row>
    <row r="263" spans="1:6" ht="15.75">
      <c r="A263" s="634"/>
      <c r="B263" s="631">
        <f t="shared" si="11"/>
        <v>0</v>
      </c>
      <c r="C263" s="613" t="s">
        <v>420</v>
      </c>
      <c r="D263" s="623">
        <v>230199</v>
      </c>
      <c r="E263" s="628">
        <v>0</v>
      </c>
      <c r="F263" s="90"/>
    </row>
    <row r="264" spans="1:6" ht="15.75">
      <c r="A264" s="634"/>
      <c r="B264" s="631">
        <f t="shared" si="11"/>
        <v>450</v>
      </c>
      <c r="C264" s="613" t="s">
        <v>516</v>
      </c>
      <c r="D264" s="623">
        <v>230199</v>
      </c>
      <c r="E264" s="628">
        <v>0</v>
      </c>
      <c r="F264" s="90"/>
    </row>
    <row r="265" spans="1:6" ht="15.75">
      <c r="A265" s="634"/>
      <c r="B265" s="631">
        <f t="shared" si="11"/>
        <v>0</v>
      </c>
      <c r="C265" s="613" t="s">
        <v>59</v>
      </c>
      <c r="D265" s="623">
        <v>210500</v>
      </c>
      <c r="E265" s="628">
        <v>0</v>
      </c>
      <c r="F265" s="90"/>
    </row>
    <row r="266" spans="1:6" ht="15.75">
      <c r="A266" s="634"/>
      <c r="B266" s="631">
        <f t="shared" si="11"/>
        <v>157910</v>
      </c>
      <c r="C266" s="613" t="s">
        <v>14</v>
      </c>
      <c r="D266" s="623">
        <v>210402</v>
      </c>
      <c r="E266" s="628">
        <v>0</v>
      </c>
      <c r="F266" s="90"/>
    </row>
    <row r="267" spans="1:6" ht="15.75">
      <c r="A267" s="634"/>
      <c r="B267" s="631">
        <f t="shared" si="11"/>
        <v>7704</v>
      </c>
      <c r="C267" s="613" t="s">
        <v>15</v>
      </c>
      <c r="D267" s="614">
        <v>300000</v>
      </c>
      <c r="E267" s="628">
        <v>0</v>
      </c>
      <c r="F267" s="90"/>
    </row>
    <row r="268" spans="1:6" ht="15.75">
      <c r="A268" s="634"/>
      <c r="B268" s="631">
        <f t="shared" si="11"/>
        <v>0</v>
      </c>
      <c r="C268" s="624" t="s">
        <v>532</v>
      </c>
      <c r="D268" s="614">
        <v>441000</v>
      </c>
      <c r="E268" s="628">
        <v>0</v>
      </c>
      <c r="F268" s="90"/>
    </row>
    <row r="269" spans="1:6" ht="15.75">
      <c r="A269" s="634"/>
      <c r="B269" s="631">
        <f t="shared" si="11"/>
        <v>0</v>
      </c>
      <c r="C269" s="624" t="s">
        <v>533</v>
      </c>
      <c r="D269" s="614">
        <v>441000</v>
      </c>
      <c r="E269" s="628">
        <v>0</v>
      </c>
      <c r="F269" s="90"/>
    </row>
    <row r="270" spans="1:6" ht="15.75">
      <c r="A270" s="634"/>
      <c r="B270" s="631"/>
      <c r="C270" s="624"/>
      <c r="D270" s="625"/>
      <c r="E270" s="628"/>
      <c r="F270" s="90"/>
    </row>
    <row r="271" spans="1:6" ht="15.75">
      <c r="A271" s="634"/>
      <c r="B271" s="651">
        <f>SUM(B254:B270)</f>
        <v>3885068.76</v>
      </c>
      <c r="C271" s="624"/>
      <c r="D271" s="617"/>
      <c r="E271" s="651">
        <f>SUM(E254:E270)</f>
        <v>1552134.97</v>
      </c>
      <c r="F271" s="549"/>
    </row>
    <row r="272" spans="1:6" ht="16.5" thickBot="1">
      <c r="A272" s="635"/>
      <c r="B272" s="632">
        <f>SUM(B271,B253)</f>
        <v>8857916.11</v>
      </c>
      <c r="C272" s="626" t="s">
        <v>31</v>
      </c>
      <c r="D272" s="617"/>
      <c r="E272" s="632">
        <f>SUM(E271,E253)</f>
        <v>3225971.92</v>
      </c>
      <c r="F272" s="549"/>
    </row>
    <row r="273" spans="2:6" ht="16.5" thickTop="1">
      <c r="B273" s="613"/>
      <c r="C273" s="627" t="s">
        <v>164</v>
      </c>
      <c r="D273" s="617"/>
      <c r="E273" s="613"/>
      <c r="F273" s="21"/>
    </row>
    <row r="274" spans="2:6" ht="15.75">
      <c r="B274" s="655"/>
      <c r="C274" s="627" t="s">
        <v>167</v>
      </c>
      <c r="D274" s="617"/>
      <c r="E274" s="655"/>
      <c r="F274" s="551"/>
    </row>
    <row r="275" spans="2:6" ht="15.75">
      <c r="B275" s="655">
        <f>SUM(B230-B272)</f>
        <v>14811455.150000002</v>
      </c>
      <c r="C275" s="627" t="s">
        <v>165</v>
      </c>
      <c r="E275" s="655">
        <f>SUM(E230-E272)</f>
        <v>14156862.37</v>
      </c>
      <c r="F275" s="551"/>
    </row>
    <row r="276" spans="2:7" ht="16.5" thickBot="1">
      <c r="B276" s="656">
        <f>SUM(B194+B230-B272)</f>
        <v>41683068.33999999</v>
      </c>
      <c r="C276" s="627" t="s">
        <v>166</v>
      </c>
      <c r="E276" s="656">
        <f>SUM(E194+E230-E272)</f>
        <v>41683068.33999999</v>
      </c>
      <c r="F276" s="103"/>
      <c r="G276" s="151">
        <f>+งบดุลบัญชี!W5</f>
        <v>41683068.20000001</v>
      </c>
    </row>
    <row r="277" spans="2:7" ht="16.5" thickTop="1">
      <c r="B277" s="657"/>
      <c r="C277" s="627"/>
      <c r="E277" s="657"/>
      <c r="F277" s="103"/>
      <c r="G277" s="151">
        <f>+E276-G276</f>
        <v>0.13999997824430466</v>
      </c>
    </row>
    <row r="279" spans="1:6" ht="15.75">
      <c r="A279" s="749" t="s">
        <v>33</v>
      </c>
      <c r="B279" s="749"/>
      <c r="C279" s="673" t="str">
        <f>+A279</f>
        <v>(นายวสันต์  ไทรแก้ว)</v>
      </c>
      <c r="D279" s="749" t="s">
        <v>411</v>
      </c>
      <c r="E279" s="749"/>
      <c r="F279" s="542"/>
    </row>
    <row r="280" spans="1:6" ht="15.75">
      <c r="A280" s="749" t="s">
        <v>389</v>
      </c>
      <c r="B280" s="749"/>
      <c r="C280" s="673" t="s">
        <v>289</v>
      </c>
      <c r="D280" s="749" t="s">
        <v>38</v>
      </c>
      <c r="E280" s="749"/>
      <c r="F280" s="542"/>
    </row>
    <row r="281" spans="1:6" ht="15.75">
      <c r="A281" s="749" t="s">
        <v>36</v>
      </c>
      <c r="B281" s="749"/>
      <c r="D281" s="749"/>
      <c r="E281" s="749"/>
      <c r="F281" s="542"/>
    </row>
    <row r="282" spans="1:6" ht="15.75">
      <c r="A282" s="629" t="s">
        <v>29</v>
      </c>
      <c r="D282" s="672" t="s">
        <v>158</v>
      </c>
      <c r="E282" s="648" t="s">
        <v>641</v>
      </c>
      <c r="F282" s="114"/>
    </row>
    <row r="283" spans="1:6" ht="15.75">
      <c r="A283" s="750" t="s">
        <v>154</v>
      </c>
      <c r="B283" s="750"/>
      <c r="C283" s="750"/>
      <c r="D283" s="750"/>
      <c r="E283" s="750"/>
      <c r="F283" s="543"/>
    </row>
    <row r="284" spans="5:6" ht="15.75">
      <c r="E284" s="627" t="s">
        <v>603</v>
      </c>
      <c r="F284" s="543"/>
    </row>
    <row r="285" spans="1:6" ht="15.75">
      <c r="A285" s="751" t="s">
        <v>155</v>
      </c>
      <c r="B285" s="751"/>
      <c r="C285" s="620"/>
      <c r="D285" s="620"/>
      <c r="E285" s="649" t="s">
        <v>157</v>
      </c>
      <c r="F285" s="304"/>
    </row>
    <row r="286" spans="1:6" ht="15.75">
      <c r="A286" s="621" t="s">
        <v>16</v>
      </c>
      <c r="B286" s="621" t="s">
        <v>156</v>
      </c>
      <c r="C286" s="621" t="s">
        <v>0</v>
      </c>
      <c r="D286" s="621" t="s">
        <v>139</v>
      </c>
      <c r="E286" s="621" t="s">
        <v>156</v>
      </c>
      <c r="F286" s="304"/>
    </row>
    <row r="287" spans="1:6" ht="15.75">
      <c r="A287" s="630" t="s">
        <v>49</v>
      </c>
      <c r="B287" s="630" t="s">
        <v>49</v>
      </c>
      <c r="C287" s="616"/>
      <c r="D287" s="616"/>
      <c r="E287" s="630" t="s">
        <v>49</v>
      </c>
      <c r="F287" s="304"/>
    </row>
    <row r="288" spans="1:6" ht="15.75">
      <c r="A288" s="628"/>
      <c r="B288" s="650">
        <v>26871613.18999999</v>
      </c>
      <c r="C288" s="612" t="s">
        <v>159</v>
      </c>
      <c r="D288" s="613"/>
      <c r="E288" s="650">
        <f>+E276</f>
        <v>41683068.33999999</v>
      </c>
      <c r="F288" s="549"/>
    </row>
    <row r="289" spans="1:6" ht="15.75">
      <c r="A289" s="628"/>
      <c r="B289" s="628"/>
      <c r="C289" s="612" t="s">
        <v>160</v>
      </c>
      <c r="D289" s="613"/>
      <c r="E289" s="628"/>
      <c r="F289" s="90"/>
    </row>
    <row r="290" spans="1:6" ht="15.75">
      <c r="A290" s="631">
        <v>191000</v>
      </c>
      <c r="B290" s="631">
        <f>+E290+B196</f>
        <v>20556.75</v>
      </c>
      <c r="C290" s="613" t="s">
        <v>19</v>
      </c>
      <c r="D290" s="614">
        <v>411000</v>
      </c>
      <c r="E290" s="628">
        <v>20522.25</v>
      </c>
      <c r="F290" s="90"/>
    </row>
    <row r="291" spans="1:6" ht="15.75">
      <c r="A291" s="631">
        <v>186700</v>
      </c>
      <c r="B291" s="631">
        <f aca="true" t="shared" si="12" ref="B291:B297">+E291+B197</f>
        <v>52630</v>
      </c>
      <c r="C291" s="613" t="s">
        <v>357</v>
      </c>
      <c r="D291" s="614">
        <v>412000</v>
      </c>
      <c r="E291" s="628">
        <v>13940</v>
      </c>
      <c r="F291" s="90"/>
    </row>
    <row r="292" spans="1:6" ht="15.75">
      <c r="A292" s="631">
        <v>291000</v>
      </c>
      <c r="B292" s="631">
        <f t="shared" si="12"/>
        <v>114354.21</v>
      </c>
      <c r="C292" s="613" t="s">
        <v>21</v>
      </c>
      <c r="D292" s="614">
        <v>413000</v>
      </c>
      <c r="E292" s="628">
        <v>0</v>
      </c>
      <c r="F292" s="90"/>
    </row>
    <row r="293" spans="1:6" ht="15.75">
      <c r="A293" s="631">
        <v>180000</v>
      </c>
      <c r="B293" s="631">
        <f t="shared" si="12"/>
        <v>76800</v>
      </c>
      <c r="C293" s="613" t="s">
        <v>23</v>
      </c>
      <c r="D293" s="614">
        <v>414000</v>
      </c>
      <c r="E293" s="628">
        <v>14575</v>
      </c>
      <c r="F293" s="90"/>
    </row>
    <row r="294" spans="1:6" ht="15.75">
      <c r="A294" s="631">
        <v>120000</v>
      </c>
      <c r="B294" s="631">
        <f t="shared" si="12"/>
        <v>27350</v>
      </c>
      <c r="C294" s="613" t="s">
        <v>20</v>
      </c>
      <c r="D294" s="614">
        <v>415000</v>
      </c>
      <c r="E294" s="628">
        <v>13720</v>
      </c>
      <c r="F294" s="90"/>
    </row>
    <row r="295" spans="1:6" ht="15.75">
      <c r="A295" s="631">
        <v>500</v>
      </c>
      <c r="B295" s="631">
        <f t="shared" si="12"/>
        <v>0</v>
      </c>
      <c r="C295" s="613" t="s">
        <v>125</v>
      </c>
      <c r="D295" s="614">
        <v>416000</v>
      </c>
      <c r="E295" s="628">
        <v>0</v>
      </c>
      <c r="F295" s="90"/>
    </row>
    <row r="296" spans="1:6" ht="15.75">
      <c r="A296" s="631">
        <v>12750000</v>
      </c>
      <c r="B296" s="631">
        <f t="shared" si="12"/>
        <v>2136974.4299999997</v>
      </c>
      <c r="C296" s="613" t="s">
        <v>50</v>
      </c>
      <c r="D296" s="614">
        <v>421000</v>
      </c>
      <c r="E296" s="628">
        <v>613394.68</v>
      </c>
      <c r="F296" s="90"/>
    </row>
    <row r="297" spans="1:6" ht="15.75">
      <c r="A297" s="631">
        <v>17000000</v>
      </c>
      <c r="B297" s="631">
        <f t="shared" si="12"/>
        <v>17863814</v>
      </c>
      <c r="C297" s="613" t="s">
        <v>22</v>
      </c>
      <c r="D297" s="614">
        <v>431002</v>
      </c>
      <c r="E297" s="628">
        <v>1475080</v>
      </c>
      <c r="F297" s="90"/>
    </row>
    <row r="298" spans="1:6" ht="16.5" thickBot="1">
      <c r="A298" s="632">
        <f>SUM(A290:A297)</f>
        <v>30719200</v>
      </c>
      <c r="B298" s="632">
        <f>SUM(B290:B297)</f>
        <v>20292479.39</v>
      </c>
      <c r="C298" s="613"/>
      <c r="D298" s="614"/>
      <c r="E298" s="632">
        <f>SUM(E290:E297)</f>
        <v>2151231.93</v>
      </c>
      <c r="F298" s="549"/>
    </row>
    <row r="299" spans="1:6" ht="16.5" thickTop="1">
      <c r="A299" s="633"/>
      <c r="B299" s="631">
        <f>+E299+B205</f>
        <v>0</v>
      </c>
      <c r="C299" s="613" t="s">
        <v>71</v>
      </c>
      <c r="D299" s="614">
        <v>441000</v>
      </c>
      <c r="E299" s="628">
        <v>0</v>
      </c>
      <c r="F299" s="90"/>
    </row>
    <row r="300" spans="1:6" ht="15.75">
      <c r="A300" s="634"/>
      <c r="B300" s="631">
        <f aca="true" t="shared" si="13" ref="B300:B305">+E300+B206</f>
        <v>5693520</v>
      </c>
      <c r="C300" s="613" t="s">
        <v>124</v>
      </c>
      <c r="D300" s="614">
        <v>441000</v>
      </c>
      <c r="E300" s="628">
        <v>390120</v>
      </c>
      <c r="F300" s="90"/>
    </row>
    <row r="301" spans="1:6" ht="15.75">
      <c r="A301" s="634"/>
      <c r="B301" s="631">
        <f t="shared" si="13"/>
        <v>8633.02</v>
      </c>
      <c r="C301" s="613" t="s">
        <v>26</v>
      </c>
      <c r="D301" s="614">
        <v>230102</v>
      </c>
      <c r="E301" s="628">
        <v>2959.24</v>
      </c>
      <c r="F301" s="90"/>
    </row>
    <row r="302" spans="1:6" ht="15.75">
      <c r="A302" s="617"/>
      <c r="B302" s="631">
        <f t="shared" si="13"/>
        <v>77.44000000000001</v>
      </c>
      <c r="C302" s="613" t="s">
        <v>161</v>
      </c>
      <c r="D302" s="614">
        <v>230105</v>
      </c>
      <c r="E302" s="628">
        <v>69.68</v>
      </c>
      <c r="F302" s="90"/>
    </row>
    <row r="303" spans="1:6" ht="15.75">
      <c r="A303" s="624"/>
      <c r="B303" s="631">
        <f t="shared" si="13"/>
        <v>204281</v>
      </c>
      <c r="C303" s="613" t="s">
        <v>27</v>
      </c>
      <c r="D303" s="614">
        <v>230108</v>
      </c>
      <c r="E303" s="628">
        <v>2685</v>
      </c>
      <c r="F303" s="90"/>
    </row>
    <row r="304" spans="1:6" ht="15.75">
      <c r="A304" s="624"/>
      <c r="B304" s="631">
        <f t="shared" si="13"/>
        <v>0</v>
      </c>
      <c r="C304" s="613" t="s">
        <v>353</v>
      </c>
      <c r="D304" s="614">
        <v>230109</v>
      </c>
      <c r="E304" s="628">
        <v>0</v>
      </c>
      <c r="F304" s="90"/>
    </row>
    <row r="305" spans="1:6" ht="15.75">
      <c r="A305" s="624"/>
      <c r="B305" s="631">
        <f t="shared" si="13"/>
        <v>9445.83</v>
      </c>
      <c r="C305" s="615" t="s">
        <v>88</v>
      </c>
      <c r="D305" s="614">
        <v>230110</v>
      </c>
      <c r="E305" s="628">
        <v>6297.22</v>
      </c>
      <c r="F305" s="90"/>
    </row>
    <row r="306" spans="1:6" ht="15.75">
      <c r="A306" s="624"/>
      <c r="B306" s="631">
        <f>+E306</f>
        <v>9795</v>
      </c>
      <c r="C306" s="615" t="s">
        <v>516</v>
      </c>
      <c r="D306" s="614">
        <v>230111</v>
      </c>
      <c r="E306" s="628">
        <v>9795</v>
      </c>
      <c r="F306" s="90"/>
    </row>
    <row r="307" spans="1:6" ht="15.75">
      <c r="A307" s="624"/>
      <c r="B307" s="631">
        <f aca="true" t="shared" si="14" ref="B307:B317">+E307+B212</f>
        <v>112.65</v>
      </c>
      <c r="C307" s="613" t="s">
        <v>57</v>
      </c>
      <c r="D307" s="614">
        <v>110602</v>
      </c>
      <c r="E307" s="628">
        <v>0</v>
      </c>
      <c r="F307" s="90"/>
    </row>
    <row r="308" spans="2:6" ht="15.75">
      <c r="B308" s="631">
        <f t="shared" si="14"/>
        <v>1815</v>
      </c>
      <c r="C308" s="613" t="s">
        <v>60</v>
      </c>
      <c r="D308" s="614">
        <v>110604</v>
      </c>
      <c r="E308" s="628">
        <v>0</v>
      </c>
      <c r="F308" s="90"/>
    </row>
    <row r="309" spans="2:6" ht="15.75">
      <c r="B309" s="631">
        <f t="shared" si="14"/>
        <v>0</v>
      </c>
      <c r="C309" s="613" t="s">
        <v>130</v>
      </c>
      <c r="D309" s="614">
        <v>110605</v>
      </c>
      <c r="E309" s="628">
        <v>0</v>
      </c>
      <c r="F309" s="90"/>
    </row>
    <row r="310" spans="2:6" ht="15.75">
      <c r="B310" s="631">
        <f t="shared" si="14"/>
        <v>0</v>
      </c>
      <c r="C310" s="613" t="s">
        <v>152</v>
      </c>
      <c r="D310" s="614">
        <v>110606</v>
      </c>
      <c r="E310" s="628">
        <v>0</v>
      </c>
      <c r="F310" s="90"/>
    </row>
    <row r="311" spans="2:6" ht="15.75">
      <c r="B311" s="631">
        <f t="shared" si="14"/>
        <v>0</v>
      </c>
      <c r="C311" s="615" t="s">
        <v>360</v>
      </c>
      <c r="D311" s="614">
        <v>300000</v>
      </c>
      <c r="E311" s="628">
        <v>0</v>
      </c>
      <c r="F311" s="90"/>
    </row>
    <row r="312" spans="2:6" ht="15.75">
      <c r="B312" s="631">
        <f t="shared" si="14"/>
        <v>700</v>
      </c>
      <c r="C312" s="615" t="s">
        <v>361</v>
      </c>
      <c r="D312" s="614">
        <v>441000</v>
      </c>
      <c r="E312" s="628"/>
      <c r="F312" s="90"/>
    </row>
    <row r="313" spans="2:6" ht="15.75">
      <c r="B313" s="631">
        <f t="shared" si="14"/>
        <v>0</v>
      </c>
      <c r="C313" s="615" t="s">
        <v>367</v>
      </c>
      <c r="D313" s="614">
        <v>441000</v>
      </c>
      <c r="E313" s="628">
        <v>0</v>
      </c>
      <c r="F313" s="90"/>
    </row>
    <row r="314" spans="2:6" ht="15.75">
      <c r="B314" s="631">
        <f t="shared" si="14"/>
        <v>0</v>
      </c>
      <c r="C314" s="615" t="s">
        <v>426</v>
      </c>
      <c r="D314" s="614">
        <v>441000</v>
      </c>
      <c r="E314" s="628">
        <v>0</v>
      </c>
      <c r="F314" s="90"/>
    </row>
    <row r="315" spans="2:6" ht="15.75">
      <c r="B315" s="631">
        <f t="shared" si="14"/>
        <v>1400</v>
      </c>
      <c r="C315" s="615" t="s">
        <v>606</v>
      </c>
      <c r="D315" s="614">
        <v>300000</v>
      </c>
      <c r="E315" s="628">
        <v>0</v>
      </c>
      <c r="F315" s="90"/>
    </row>
    <row r="316" spans="2:6" ht="15.75">
      <c r="B316" s="631">
        <f t="shared" si="14"/>
        <v>0</v>
      </c>
      <c r="C316" s="615" t="s">
        <v>430</v>
      </c>
      <c r="D316" s="614">
        <v>532000</v>
      </c>
      <c r="E316" s="628">
        <v>0</v>
      </c>
      <c r="F316" s="90"/>
    </row>
    <row r="317" spans="2:6" ht="15.75">
      <c r="B317" s="631">
        <f t="shared" si="14"/>
        <v>0</v>
      </c>
      <c r="C317" s="615" t="s">
        <v>313</v>
      </c>
      <c r="D317" s="614">
        <v>230200</v>
      </c>
      <c r="E317" s="628">
        <v>0</v>
      </c>
      <c r="F317" s="90"/>
    </row>
    <row r="318" spans="2:6" ht="15.75">
      <c r="B318" s="631">
        <f>+E318+B223</f>
        <v>310</v>
      </c>
      <c r="C318" s="615" t="s">
        <v>424</v>
      </c>
      <c r="D318" s="614">
        <v>522000</v>
      </c>
      <c r="E318" s="628">
        <v>0</v>
      </c>
      <c r="F318" s="90"/>
    </row>
    <row r="319" spans="2:6" ht="15.75">
      <c r="B319" s="631">
        <f>+E319+B224</f>
        <v>9960</v>
      </c>
      <c r="C319" s="615" t="s">
        <v>473</v>
      </c>
      <c r="D319" s="614">
        <v>110605</v>
      </c>
      <c r="E319" s="628">
        <v>0</v>
      </c>
      <c r="F319" s="90"/>
    </row>
    <row r="320" spans="2:6" ht="15.75">
      <c r="B320" s="631"/>
      <c r="C320" s="615"/>
      <c r="D320" s="614"/>
      <c r="E320" s="628"/>
      <c r="F320" s="90"/>
    </row>
    <row r="321" spans="2:6" ht="15.75">
      <c r="B321" s="631"/>
      <c r="C321" s="615"/>
      <c r="D321" s="614"/>
      <c r="E321" s="628"/>
      <c r="F321" s="90"/>
    </row>
    <row r="322" spans="2:6" ht="15.75">
      <c r="B322" s="631"/>
      <c r="C322" s="615"/>
      <c r="D322" s="614"/>
      <c r="E322" s="628"/>
      <c r="F322" s="90"/>
    </row>
    <row r="323" spans="2:6" ht="15.75">
      <c r="B323" s="628"/>
      <c r="C323" s="615"/>
      <c r="D323" s="616"/>
      <c r="E323" s="628"/>
      <c r="F323" s="90"/>
    </row>
    <row r="324" spans="2:6" ht="15.75">
      <c r="B324" s="651">
        <f>SUM(B299:B323)</f>
        <v>5940049.94</v>
      </c>
      <c r="C324" s="615"/>
      <c r="D324" s="617"/>
      <c r="E324" s="651">
        <f>SUM(E299:E323)</f>
        <v>411926.13999999996</v>
      </c>
      <c r="F324" s="549"/>
    </row>
    <row r="325" spans="2:6" ht="16.5" thickBot="1">
      <c r="B325" s="632">
        <f>SUM(B324+B298)</f>
        <v>26232529.330000002</v>
      </c>
      <c r="C325" s="618" t="s">
        <v>32</v>
      </c>
      <c r="D325" s="617"/>
      <c r="E325" s="632">
        <f>SUM(E298,E324)</f>
        <v>2563158.0700000003</v>
      </c>
      <c r="F325" s="549"/>
    </row>
    <row r="326" ht="16.5" thickTop="1"/>
    <row r="331" spans="1:6" ht="15.75">
      <c r="A331" s="751" t="s">
        <v>155</v>
      </c>
      <c r="B331" s="751"/>
      <c r="C331" s="620"/>
      <c r="D331" s="620"/>
      <c r="E331" s="649" t="s">
        <v>157</v>
      </c>
      <c r="F331" s="304"/>
    </row>
    <row r="332" spans="1:6" ht="15.75">
      <c r="A332" s="621" t="s">
        <v>16</v>
      </c>
      <c r="B332" s="621" t="s">
        <v>156</v>
      </c>
      <c r="C332" s="621" t="s">
        <v>0</v>
      </c>
      <c r="D332" s="621" t="s">
        <v>139</v>
      </c>
      <c r="E332" s="621" t="s">
        <v>156</v>
      </c>
      <c r="F332" s="304"/>
    </row>
    <row r="333" spans="1:6" ht="15.75">
      <c r="A333" s="630" t="s">
        <v>49</v>
      </c>
      <c r="B333" s="630" t="s">
        <v>49</v>
      </c>
      <c r="C333" s="616"/>
      <c r="D333" s="616"/>
      <c r="E333" s="630" t="s">
        <v>49</v>
      </c>
      <c r="F333" s="304"/>
    </row>
    <row r="334" spans="1:6" ht="15.75">
      <c r="A334" s="628"/>
      <c r="B334" s="628"/>
      <c r="C334" s="612" t="s">
        <v>30</v>
      </c>
      <c r="D334" s="613"/>
      <c r="E334" s="652"/>
      <c r="F334" s="90"/>
    </row>
    <row r="335" spans="1:6" ht="17.25">
      <c r="A335" s="628">
        <v>1423230</v>
      </c>
      <c r="B335" s="631">
        <f>+E335+B240</f>
        <v>581719.61</v>
      </c>
      <c r="C335" s="613" t="s">
        <v>11</v>
      </c>
      <c r="D335" s="622">
        <v>510000</v>
      </c>
      <c r="E335" s="653">
        <v>21732</v>
      </c>
      <c r="F335" s="550"/>
    </row>
    <row r="336" spans="1:6" ht="17.25">
      <c r="A336" s="628">
        <v>2624640</v>
      </c>
      <c r="B336" s="631">
        <f aca="true" t="shared" si="15" ref="B336:B347">+E336+B241</f>
        <v>864898</v>
      </c>
      <c r="C336" s="613" t="s">
        <v>162</v>
      </c>
      <c r="D336" s="622">
        <v>521000</v>
      </c>
      <c r="E336" s="654">
        <v>218720</v>
      </c>
      <c r="F336" s="167"/>
    </row>
    <row r="337" spans="1:6" ht="17.25">
      <c r="A337" s="628">
        <f>2150000+300000+76000+750000+100000+21000+350000+50000+21000</f>
        <v>3818000</v>
      </c>
      <c r="B337" s="631">
        <f t="shared" si="15"/>
        <v>1063775.16</v>
      </c>
      <c r="C337" s="613" t="s">
        <v>163</v>
      </c>
      <c r="D337" s="622">
        <v>522000</v>
      </c>
      <c r="E337" s="654">
        <v>275527.58</v>
      </c>
      <c r="F337" s="167"/>
    </row>
    <row r="338" spans="1:6" ht="17.25">
      <c r="A338" s="628">
        <f>300000+55000</f>
        <v>355000</v>
      </c>
      <c r="B338" s="631">
        <f t="shared" si="15"/>
        <v>109140</v>
      </c>
      <c r="C338" s="613" t="s">
        <v>3</v>
      </c>
      <c r="D338" s="622">
        <v>220400</v>
      </c>
      <c r="E338" s="654">
        <v>27285</v>
      </c>
      <c r="F338" s="167"/>
    </row>
    <row r="339" spans="1:6" ht="17.25">
      <c r="A339" s="628">
        <f>980000+580000+115000+70000+20000+10000+230000+120000</f>
        <v>2125000</v>
      </c>
      <c r="B339" s="631">
        <f t="shared" si="15"/>
        <v>666600</v>
      </c>
      <c r="C339" s="613" t="s">
        <v>4</v>
      </c>
      <c r="D339" s="622">
        <v>220600</v>
      </c>
      <c r="E339" s="654">
        <v>159900</v>
      </c>
      <c r="F339" s="167"/>
    </row>
    <row r="340" spans="1:6" ht="17.25">
      <c r="A340" s="628">
        <f>514000+160000+50000+10500+100000</f>
        <v>834500</v>
      </c>
      <c r="B340" s="631">
        <f t="shared" si="15"/>
        <v>106975</v>
      </c>
      <c r="C340" s="613" t="s">
        <v>5</v>
      </c>
      <c r="D340" s="622">
        <v>531000</v>
      </c>
      <c r="E340" s="654">
        <v>32940</v>
      </c>
      <c r="F340" s="167"/>
    </row>
    <row r="341" spans="1:6" ht="17.25">
      <c r="A341" s="628">
        <f>1215000+160000+170000+160000+1200630+100000+80000+50000+700000+395000+550000+420000+100000+30000+150000</f>
        <v>5480630</v>
      </c>
      <c r="B341" s="631">
        <f t="shared" si="15"/>
        <v>1451516.9</v>
      </c>
      <c r="C341" s="613" t="s">
        <v>6</v>
      </c>
      <c r="D341" s="622">
        <v>532000</v>
      </c>
      <c r="E341" s="654">
        <v>616483.75</v>
      </c>
      <c r="F341" s="167"/>
    </row>
    <row r="342" spans="1:6" ht="17.25">
      <c r="A342" s="628">
        <f>780000+100000+32500+2054500+100000+100000+180000+680000+50000+50000</f>
        <v>4127000</v>
      </c>
      <c r="B342" s="631">
        <f t="shared" si="15"/>
        <v>345921</v>
      </c>
      <c r="C342" s="613" t="s">
        <v>7</v>
      </c>
      <c r="D342" s="622">
        <v>533000</v>
      </c>
      <c r="E342" s="654">
        <v>143872</v>
      </c>
      <c r="F342" s="167"/>
    </row>
    <row r="343" spans="1:6" ht="17.25">
      <c r="A343" s="628">
        <f>460000+470000</f>
        <v>930000</v>
      </c>
      <c r="B343" s="631">
        <f t="shared" si="15"/>
        <v>236391.57</v>
      </c>
      <c r="C343" s="613" t="s">
        <v>8</v>
      </c>
      <c r="D343" s="622">
        <v>534000</v>
      </c>
      <c r="E343" s="654">
        <v>76029.56</v>
      </c>
      <c r="F343" s="167"/>
    </row>
    <row r="344" spans="1:6" ht="17.25">
      <c r="A344" s="628">
        <f>150000+148000+92000+100000</f>
        <v>490000</v>
      </c>
      <c r="B344" s="631">
        <f t="shared" si="15"/>
        <v>93630</v>
      </c>
      <c r="C344" s="613" t="s">
        <v>9</v>
      </c>
      <c r="D344" s="622">
        <v>541000</v>
      </c>
      <c r="E344" s="654">
        <v>85730</v>
      </c>
      <c r="F344" s="167"/>
    </row>
    <row r="345" spans="1:6" ht="17.25">
      <c r="A345" s="628">
        <f>743200+97100+3552900</f>
        <v>4393200</v>
      </c>
      <c r="B345" s="631">
        <f t="shared" si="15"/>
        <v>132200</v>
      </c>
      <c r="C345" s="613" t="s">
        <v>10</v>
      </c>
      <c r="D345" s="622">
        <v>542000</v>
      </c>
      <c r="E345" s="654">
        <v>33700</v>
      </c>
      <c r="F345" s="167"/>
    </row>
    <row r="346" spans="1:6" ht="17.25">
      <c r="A346" s="628">
        <f>20000+3684000+240000+30000+40000+69000+10000</f>
        <v>4093000</v>
      </c>
      <c r="B346" s="631">
        <f t="shared" si="15"/>
        <v>1933000</v>
      </c>
      <c r="C346" s="613" t="s">
        <v>13</v>
      </c>
      <c r="D346" s="614">
        <v>560000</v>
      </c>
      <c r="E346" s="654">
        <v>921000</v>
      </c>
      <c r="F346" s="167"/>
    </row>
    <row r="347" spans="1:6" ht="15.75">
      <c r="A347" s="628">
        <v>25000</v>
      </c>
      <c r="B347" s="631">
        <f t="shared" si="15"/>
        <v>0</v>
      </c>
      <c r="C347" s="613" t="s">
        <v>12</v>
      </c>
      <c r="D347" s="622">
        <v>550000</v>
      </c>
      <c r="E347" s="628">
        <v>0</v>
      </c>
      <c r="F347" s="90"/>
    </row>
    <row r="348" spans="1:6" ht="16.5" thickBot="1">
      <c r="A348" s="632">
        <f>SUM(A335:A347)</f>
        <v>30719200</v>
      </c>
      <c r="B348" s="632">
        <f>SUM(B335:B347)</f>
        <v>7585767.24</v>
      </c>
      <c r="C348" s="618"/>
      <c r="D348" s="613"/>
      <c r="E348" s="632">
        <f>SUM(E335:E347)</f>
        <v>2612919.89</v>
      </c>
      <c r="F348" s="549"/>
    </row>
    <row r="349" spans="1:6" ht="16.5" thickTop="1">
      <c r="A349" s="633"/>
      <c r="B349" s="631">
        <f>+E349+B254</f>
        <v>321800</v>
      </c>
      <c r="C349" s="613" t="s">
        <v>602</v>
      </c>
      <c r="D349" s="622">
        <v>441000</v>
      </c>
      <c r="E349" s="628">
        <f>145300+30500</f>
        <v>175800</v>
      </c>
      <c r="F349" s="90"/>
    </row>
    <row r="350" spans="1:6" ht="15.75">
      <c r="A350" s="634"/>
      <c r="B350" s="631">
        <f aca="true" t="shared" si="16" ref="B350:B364">+E350+B255</f>
        <v>0</v>
      </c>
      <c r="C350" s="613" t="s">
        <v>25</v>
      </c>
      <c r="D350" s="622">
        <v>412210</v>
      </c>
      <c r="E350" s="628">
        <v>0</v>
      </c>
      <c r="F350" s="90"/>
    </row>
    <row r="351" spans="1:6" ht="15.75">
      <c r="A351" s="634"/>
      <c r="B351" s="631">
        <f t="shared" si="16"/>
        <v>530364.33</v>
      </c>
      <c r="C351" s="613" t="s">
        <v>146</v>
      </c>
      <c r="D351" s="614">
        <v>110202</v>
      </c>
      <c r="E351" s="628"/>
      <c r="F351" s="90"/>
    </row>
    <row r="352" spans="1:6" ht="15.75">
      <c r="A352" s="634"/>
      <c r="B352" s="631">
        <f t="shared" si="16"/>
        <v>204650</v>
      </c>
      <c r="C352" s="613" t="s">
        <v>130</v>
      </c>
      <c r="D352" s="622">
        <v>110605</v>
      </c>
      <c r="E352" s="628"/>
      <c r="F352" s="90"/>
    </row>
    <row r="353" spans="1:6" ht="15.75">
      <c r="A353" s="634"/>
      <c r="B353" s="631">
        <f t="shared" si="16"/>
        <v>1348000</v>
      </c>
      <c r="C353" s="613" t="s">
        <v>440</v>
      </c>
      <c r="D353" s="622">
        <v>110609</v>
      </c>
      <c r="E353" s="628">
        <v>701600</v>
      </c>
      <c r="F353" s="90"/>
    </row>
    <row r="354" spans="1:6" ht="15.75">
      <c r="A354" s="634"/>
      <c r="B354" s="631">
        <f t="shared" si="16"/>
        <v>2240620</v>
      </c>
      <c r="C354" s="613" t="s">
        <v>152</v>
      </c>
      <c r="D354" s="614">
        <v>110606</v>
      </c>
      <c r="E354" s="628">
        <v>97440</v>
      </c>
      <c r="F354" s="90"/>
    </row>
    <row r="355" spans="1:6" ht="15.75">
      <c r="A355" s="634"/>
      <c r="B355" s="631">
        <f t="shared" si="16"/>
        <v>23292.39</v>
      </c>
      <c r="C355" s="613" t="s">
        <v>26</v>
      </c>
      <c r="D355" s="614">
        <v>230102</v>
      </c>
      <c r="E355" s="628">
        <v>1982.63</v>
      </c>
      <c r="F355" s="90"/>
    </row>
    <row r="356" spans="1:6" ht="15.75">
      <c r="A356" s="634"/>
      <c r="B356" s="631">
        <f t="shared" si="16"/>
        <v>182313</v>
      </c>
      <c r="C356" s="613" t="s">
        <v>364</v>
      </c>
      <c r="D356" s="614">
        <v>230108</v>
      </c>
      <c r="E356" s="628">
        <v>156920</v>
      </c>
      <c r="F356" s="90"/>
    </row>
    <row r="357" spans="1:6" ht="15.75">
      <c r="A357" s="634"/>
      <c r="B357" s="631">
        <f t="shared" si="16"/>
        <v>1707.67</v>
      </c>
      <c r="C357" s="613" t="s">
        <v>88</v>
      </c>
      <c r="D357" s="623">
        <v>230199</v>
      </c>
      <c r="E357" s="628">
        <v>0</v>
      </c>
      <c r="F357" s="90"/>
    </row>
    <row r="358" spans="1:6" ht="15.75">
      <c r="A358" s="634"/>
      <c r="B358" s="631">
        <f t="shared" si="16"/>
        <v>0</v>
      </c>
      <c r="C358" s="613" t="s">
        <v>420</v>
      </c>
      <c r="D358" s="623">
        <v>230199</v>
      </c>
      <c r="E358" s="628">
        <v>0</v>
      </c>
      <c r="F358" s="90"/>
    </row>
    <row r="359" spans="1:6" ht="15.75">
      <c r="A359" s="634"/>
      <c r="B359" s="631">
        <f>+E359+B264</f>
        <v>450</v>
      </c>
      <c r="C359" s="613" t="s">
        <v>516</v>
      </c>
      <c r="D359" s="623">
        <v>230199</v>
      </c>
      <c r="E359" s="628">
        <v>0</v>
      </c>
      <c r="F359" s="90"/>
    </row>
    <row r="360" spans="1:6" ht="15.75">
      <c r="A360" s="634"/>
      <c r="B360" s="631">
        <f>+E360+B265</f>
        <v>0</v>
      </c>
      <c r="C360" s="613" t="s">
        <v>59</v>
      </c>
      <c r="D360" s="623">
        <v>210500</v>
      </c>
      <c r="E360" s="628">
        <v>0</v>
      </c>
      <c r="F360" s="90"/>
    </row>
    <row r="361" spans="1:6" ht="15.75">
      <c r="A361" s="634"/>
      <c r="B361" s="631">
        <f>+E361+B266</f>
        <v>157910</v>
      </c>
      <c r="C361" s="613" t="s">
        <v>14</v>
      </c>
      <c r="D361" s="623">
        <v>210402</v>
      </c>
      <c r="E361" s="628">
        <v>0</v>
      </c>
      <c r="F361" s="90"/>
    </row>
    <row r="362" spans="1:6" ht="15.75">
      <c r="A362" s="634"/>
      <c r="B362" s="631">
        <f t="shared" si="16"/>
        <v>7704</v>
      </c>
      <c r="C362" s="613" t="s">
        <v>15</v>
      </c>
      <c r="D362" s="614">
        <v>300000</v>
      </c>
      <c r="E362" s="628">
        <v>0</v>
      </c>
      <c r="F362" s="90"/>
    </row>
    <row r="363" spans="1:6" ht="15.75">
      <c r="A363" s="634"/>
      <c r="B363" s="631">
        <f t="shared" si="16"/>
        <v>0</v>
      </c>
      <c r="C363" s="624" t="s">
        <v>532</v>
      </c>
      <c r="D363" s="614">
        <v>441000</v>
      </c>
      <c r="E363" s="628">
        <v>0</v>
      </c>
      <c r="F363" s="90"/>
    </row>
    <row r="364" spans="1:6" ht="15.75">
      <c r="A364" s="634"/>
      <c r="B364" s="631">
        <f t="shared" si="16"/>
        <v>0</v>
      </c>
      <c r="C364" s="624" t="s">
        <v>533</v>
      </c>
      <c r="D364" s="614">
        <v>441000</v>
      </c>
      <c r="E364" s="628">
        <v>0</v>
      </c>
      <c r="F364" s="90"/>
    </row>
    <row r="365" spans="1:6" ht="15.75">
      <c r="A365" s="634"/>
      <c r="B365" s="631"/>
      <c r="C365" s="624"/>
      <c r="D365" s="625"/>
      <c r="E365" s="628"/>
      <c r="F365" s="90"/>
    </row>
    <row r="366" spans="1:6" ht="15.75">
      <c r="A366" s="634"/>
      <c r="B366" s="651">
        <f>SUM(B349:B365)</f>
        <v>5018811.39</v>
      </c>
      <c r="C366" s="624"/>
      <c r="D366" s="617"/>
      <c r="E366" s="651">
        <f>SUM(E349:E365)</f>
        <v>1133742.63</v>
      </c>
      <c r="F366" s="549"/>
    </row>
    <row r="367" spans="1:6" ht="16.5" thickBot="1">
      <c r="A367" s="635"/>
      <c r="B367" s="632">
        <f>SUM(B366,B348)</f>
        <v>12604578.629999999</v>
      </c>
      <c r="C367" s="626" t="s">
        <v>31</v>
      </c>
      <c r="D367" s="617"/>
      <c r="E367" s="632">
        <f>SUM(E366,E348)</f>
        <v>3746662.52</v>
      </c>
      <c r="F367" s="549"/>
    </row>
    <row r="368" spans="2:6" ht="16.5" thickTop="1">
      <c r="B368" s="613"/>
      <c r="C368" s="627" t="s">
        <v>164</v>
      </c>
      <c r="D368" s="617"/>
      <c r="E368" s="613"/>
      <c r="F368" s="21"/>
    </row>
    <row r="369" spans="2:6" ht="15.75">
      <c r="B369" s="655"/>
      <c r="C369" s="627" t="s">
        <v>167</v>
      </c>
      <c r="D369" s="617"/>
      <c r="E369" s="655"/>
      <c r="F369" s="551"/>
    </row>
    <row r="370" spans="2:6" ht="15.75">
      <c r="B370" s="655">
        <f>SUM(B325-B367)</f>
        <v>13627950.700000003</v>
      </c>
      <c r="C370" s="627" t="s">
        <v>165</v>
      </c>
      <c r="E370" s="655">
        <f>SUM(E325-E367)</f>
        <v>-1183504.4499999997</v>
      </c>
      <c r="F370" s="551"/>
    </row>
    <row r="371" spans="2:7" ht="16.5" thickBot="1">
      <c r="B371" s="656">
        <f>SUM(B288+B325-B367)</f>
        <v>40499563.89</v>
      </c>
      <c r="C371" s="627" t="s">
        <v>166</v>
      </c>
      <c r="E371" s="656">
        <f>SUM(E288+E325-E367)</f>
        <v>40499563.889999986</v>
      </c>
      <c r="F371" s="103"/>
      <c r="G371" s="151">
        <f>+งบดุลบัญชี!AC5</f>
        <v>40499501.85000001</v>
      </c>
    </row>
    <row r="372" spans="2:7" ht="16.5" thickTop="1">
      <c r="B372" s="657"/>
      <c r="C372" s="627"/>
      <c r="E372" s="657"/>
      <c r="F372" s="103"/>
      <c r="G372" s="151">
        <f>+งบดุลบัญชี!AC4</f>
        <v>61.9</v>
      </c>
    </row>
    <row r="373" ht="15.75">
      <c r="G373" s="151">
        <f>+E371-G371-G372</f>
        <v>0.13999997675418996</v>
      </c>
    </row>
    <row r="374" spans="1:6" ht="15.75">
      <c r="A374" s="749" t="s">
        <v>642</v>
      </c>
      <c r="B374" s="749"/>
      <c r="C374" s="673" t="s">
        <v>33</v>
      </c>
      <c r="D374" s="749" t="s">
        <v>411</v>
      </c>
      <c r="E374" s="749"/>
      <c r="F374" s="542"/>
    </row>
    <row r="375" spans="1:6" ht="15.75">
      <c r="A375" s="749" t="s">
        <v>36</v>
      </c>
      <c r="B375" s="749"/>
      <c r="C375" s="673" t="s">
        <v>289</v>
      </c>
      <c r="D375" s="749" t="s">
        <v>38</v>
      </c>
      <c r="E375" s="749"/>
      <c r="F375" s="542"/>
    </row>
    <row r="376" spans="1:6" ht="15.75">
      <c r="A376" s="749"/>
      <c r="B376" s="749"/>
      <c r="D376" s="749"/>
      <c r="E376" s="749"/>
      <c r="F376" s="542"/>
    </row>
    <row r="377" spans="1:8" s="596" customFormat="1" ht="15.75">
      <c r="A377" s="636" t="s">
        <v>29</v>
      </c>
      <c r="B377" s="637"/>
      <c r="C377" s="637"/>
      <c r="D377" s="674" t="s">
        <v>158</v>
      </c>
      <c r="E377" s="658" t="s">
        <v>670</v>
      </c>
      <c r="F377" s="597"/>
      <c r="G377" s="598"/>
      <c r="H377" s="598"/>
    </row>
    <row r="378" spans="1:8" s="596" customFormat="1" ht="15.75">
      <c r="A378" s="753" t="s">
        <v>154</v>
      </c>
      <c r="B378" s="753"/>
      <c r="C378" s="753"/>
      <c r="D378" s="753"/>
      <c r="E378" s="753"/>
      <c r="F378" s="599"/>
      <c r="G378" s="598"/>
      <c r="H378" s="598"/>
    </row>
    <row r="379" spans="1:8" s="596" customFormat="1" ht="15.75">
      <c r="A379" s="637"/>
      <c r="B379" s="637"/>
      <c r="C379" s="637"/>
      <c r="D379" s="637"/>
      <c r="E379" s="659" t="s">
        <v>603</v>
      </c>
      <c r="F379" s="599"/>
      <c r="G379" s="598"/>
      <c r="H379" s="598"/>
    </row>
    <row r="380" spans="1:8" s="596" customFormat="1" ht="15.75">
      <c r="A380" s="754" t="s">
        <v>155</v>
      </c>
      <c r="B380" s="754"/>
      <c r="C380" s="675"/>
      <c r="D380" s="675"/>
      <c r="E380" s="660" t="s">
        <v>157</v>
      </c>
      <c r="F380" s="600"/>
      <c r="G380" s="598"/>
      <c r="H380" s="598"/>
    </row>
    <row r="381" spans="1:8" s="596" customFormat="1" ht="15.75">
      <c r="A381" s="638" t="s">
        <v>16</v>
      </c>
      <c r="B381" s="638" t="s">
        <v>156</v>
      </c>
      <c r="C381" s="638" t="s">
        <v>0</v>
      </c>
      <c r="D381" s="638" t="s">
        <v>139</v>
      </c>
      <c r="E381" s="638" t="s">
        <v>156</v>
      </c>
      <c r="F381" s="600"/>
      <c r="G381" s="598"/>
      <c r="H381" s="598"/>
    </row>
    <row r="382" spans="1:8" s="596" customFormat="1" ht="15.75">
      <c r="A382" s="639" t="s">
        <v>49</v>
      </c>
      <c r="B382" s="639" t="s">
        <v>49</v>
      </c>
      <c r="C382" s="676"/>
      <c r="D382" s="676"/>
      <c r="E382" s="639" t="s">
        <v>49</v>
      </c>
      <c r="F382" s="600"/>
      <c r="G382" s="598"/>
      <c r="H382" s="598"/>
    </row>
    <row r="383" spans="1:8" s="596" customFormat="1" ht="15.75">
      <c r="A383" s="640"/>
      <c r="B383" s="661">
        <v>26871613.18999999</v>
      </c>
      <c r="C383" s="677" t="s">
        <v>159</v>
      </c>
      <c r="D383" s="667"/>
      <c r="E383" s="661">
        <f>+E371</f>
        <v>40499563.889999986</v>
      </c>
      <c r="F383" s="601"/>
      <c r="G383" s="598"/>
      <c r="H383" s="598"/>
    </row>
    <row r="384" spans="1:8" s="596" customFormat="1" ht="15.75">
      <c r="A384" s="640"/>
      <c r="B384" s="640"/>
      <c r="C384" s="677" t="s">
        <v>160</v>
      </c>
      <c r="D384" s="667"/>
      <c r="E384" s="640"/>
      <c r="F384" s="602"/>
      <c r="G384" s="598"/>
      <c r="H384" s="598"/>
    </row>
    <row r="385" spans="1:8" s="596" customFormat="1" ht="15.75">
      <c r="A385" s="641">
        <v>191000</v>
      </c>
      <c r="B385" s="641">
        <f aca="true" t="shared" si="17" ref="B385:B392">+B290+E385</f>
        <v>82371.48000000001</v>
      </c>
      <c r="C385" s="667" t="s">
        <v>19</v>
      </c>
      <c r="D385" s="678">
        <v>411000</v>
      </c>
      <c r="E385" s="640">
        <v>61814.73</v>
      </c>
      <c r="F385" s="602"/>
      <c r="G385" s="598"/>
      <c r="H385" s="598"/>
    </row>
    <row r="386" spans="1:8" s="596" customFormat="1" ht="15.75">
      <c r="A386" s="641">
        <v>186700</v>
      </c>
      <c r="B386" s="641">
        <f t="shared" si="17"/>
        <v>71209.4</v>
      </c>
      <c r="C386" s="667" t="s">
        <v>357</v>
      </c>
      <c r="D386" s="678">
        <v>412000</v>
      </c>
      <c r="E386" s="640">
        <v>18579.4</v>
      </c>
      <c r="F386" s="602"/>
      <c r="G386" s="598"/>
      <c r="H386" s="598"/>
    </row>
    <row r="387" spans="1:8" s="596" customFormat="1" ht="15.75">
      <c r="A387" s="641">
        <v>291000</v>
      </c>
      <c r="B387" s="641">
        <f t="shared" si="17"/>
        <v>114354.21</v>
      </c>
      <c r="C387" s="667" t="s">
        <v>21</v>
      </c>
      <c r="D387" s="678">
        <v>413000</v>
      </c>
      <c r="E387" s="640">
        <v>0</v>
      </c>
      <c r="F387" s="602"/>
      <c r="G387" s="598"/>
      <c r="H387" s="598"/>
    </row>
    <row r="388" spans="1:8" s="596" customFormat="1" ht="15.75">
      <c r="A388" s="641">
        <v>180000</v>
      </c>
      <c r="B388" s="641">
        <f t="shared" si="17"/>
        <v>87330</v>
      </c>
      <c r="C388" s="667" t="s">
        <v>23</v>
      </c>
      <c r="D388" s="678">
        <v>414000</v>
      </c>
      <c r="E388" s="640">
        <v>10530</v>
      </c>
      <c r="F388" s="602"/>
      <c r="G388" s="598"/>
      <c r="H388" s="598"/>
    </row>
    <row r="389" spans="1:8" s="596" customFormat="1" ht="15.75">
      <c r="A389" s="641">
        <v>120000</v>
      </c>
      <c r="B389" s="641">
        <f t="shared" si="17"/>
        <v>35950</v>
      </c>
      <c r="C389" s="667" t="s">
        <v>20</v>
      </c>
      <c r="D389" s="678">
        <v>415000</v>
      </c>
      <c r="E389" s="640">
        <v>8600</v>
      </c>
      <c r="F389" s="602"/>
      <c r="G389" s="598"/>
      <c r="H389" s="598"/>
    </row>
    <row r="390" spans="1:8" s="596" customFormat="1" ht="15.75">
      <c r="A390" s="641">
        <v>500</v>
      </c>
      <c r="B390" s="641">
        <f t="shared" si="17"/>
        <v>0</v>
      </c>
      <c r="C390" s="667" t="s">
        <v>125</v>
      </c>
      <c r="D390" s="678">
        <v>416000</v>
      </c>
      <c r="E390" s="640">
        <v>0</v>
      </c>
      <c r="F390" s="602"/>
      <c r="G390" s="598"/>
      <c r="H390" s="598"/>
    </row>
    <row r="391" spans="1:8" s="596" customFormat="1" ht="15.75">
      <c r="A391" s="641">
        <v>12750000</v>
      </c>
      <c r="B391" s="641">
        <f t="shared" si="17"/>
        <v>6818108.59</v>
      </c>
      <c r="C391" s="667" t="s">
        <v>50</v>
      </c>
      <c r="D391" s="678">
        <v>421000</v>
      </c>
      <c r="E391" s="640">
        <v>4681134.16</v>
      </c>
      <c r="F391" s="602"/>
      <c r="G391" s="598"/>
      <c r="H391" s="598"/>
    </row>
    <row r="392" spans="1:8" s="596" customFormat="1" ht="15.75">
      <c r="A392" s="641">
        <v>17000000</v>
      </c>
      <c r="B392" s="641">
        <f t="shared" si="17"/>
        <v>17863814</v>
      </c>
      <c r="C392" s="667" t="s">
        <v>22</v>
      </c>
      <c r="D392" s="678">
        <v>431002</v>
      </c>
      <c r="E392" s="640">
        <v>0</v>
      </c>
      <c r="F392" s="602"/>
      <c r="G392" s="598"/>
      <c r="H392" s="598"/>
    </row>
    <row r="393" spans="1:8" s="596" customFormat="1" ht="16.5" thickBot="1">
      <c r="A393" s="642">
        <f>SUM(A385:A392)</f>
        <v>30719200</v>
      </c>
      <c r="B393" s="642">
        <f>SUM(B385:B392)</f>
        <v>25073137.68</v>
      </c>
      <c r="C393" s="667"/>
      <c r="D393" s="678"/>
      <c r="E393" s="642">
        <f>SUM(E385:E392)</f>
        <v>4780658.29</v>
      </c>
      <c r="F393" s="601"/>
      <c r="G393" s="598"/>
      <c r="H393" s="598"/>
    </row>
    <row r="394" spans="1:8" s="596" customFormat="1" ht="16.5" thickTop="1">
      <c r="A394" s="643"/>
      <c r="B394" s="641">
        <f>B299+E394</f>
        <v>0</v>
      </c>
      <c r="C394" s="667" t="s">
        <v>71</v>
      </c>
      <c r="D394" s="678">
        <v>441000</v>
      </c>
      <c r="E394" s="640">
        <v>0</v>
      </c>
      <c r="F394" s="602"/>
      <c r="G394" s="598"/>
      <c r="H394" s="598"/>
    </row>
    <row r="395" spans="1:8" s="596" customFormat="1" ht="15.75">
      <c r="A395" s="644"/>
      <c r="B395" s="641">
        <f aca="true" t="shared" si="18" ref="B395:B401">B300+E395</f>
        <v>11067720</v>
      </c>
      <c r="C395" s="667" t="s">
        <v>124</v>
      </c>
      <c r="D395" s="678">
        <v>441000</v>
      </c>
      <c r="E395" s="640">
        <v>5374200</v>
      </c>
      <c r="F395" s="602"/>
      <c r="G395" s="598"/>
      <c r="H395" s="598"/>
    </row>
    <row r="396" spans="1:8" s="596" customFormat="1" ht="15.75">
      <c r="A396" s="644"/>
      <c r="B396" s="641">
        <f t="shared" si="18"/>
        <v>12520.24</v>
      </c>
      <c r="C396" s="667" t="s">
        <v>26</v>
      </c>
      <c r="D396" s="678">
        <v>230102</v>
      </c>
      <c r="E396" s="640">
        <v>3887.22</v>
      </c>
      <c r="F396" s="602"/>
      <c r="G396" s="598"/>
      <c r="H396" s="598"/>
    </row>
    <row r="397" spans="1:8" s="596" customFormat="1" ht="15.75">
      <c r="A397" s="645"/>
      <c r="B397" s="641">
        <f t="shared" si="18"/>
        <v>138.34</v>
      </c>
      <c r="C397" s="667" t="s">
        <v>161</v>
      </c>
      <c r="D397" s="678">
        <v>230105</v>
      </c>
      <c r="E397" s="640">
        <v>60.9</v>
      </c>
      <c r="F397" s="602"/>
      <c r="G397" s="598"/>
      <c r="H397" s="598"/>
    </row>
    <row r="398" spans="1:8" s="596" customFormat="1" ht="15.75">
      <c r="A398" s="646"/>
      <c r="B398" s="641">
        <f t="shared" si="18"/>
        <v>452049</v>
      </c>
      <c r="C398" s="667" t="s">
        <v>27</v>
      </c>
      <c r="D398" s="678">
        <v>230108</v>
      </c>
      <c r="E398" s="640">
        <v>247768</v>
      </c>
      <c r="F398" s="602"/>
      <c r="G398" s="598"/>
      <c r="H398" s="598"/>
    </row>
    <row r="399" spans="1:8" s="596" customFormat="1" ht="15.75">
      <c r="A399" s="646"/>
      <c r="B399" s="641">
        <f t="shared" si="18"/>
        <v>22510.5</v>
      </c>
      <c r="C399" s="667" t="s">
        <v>353</v>
      </c>
      <c r="D399" s="678">
        <v>230109</v>
      </c>
      <c r="E399" s="640">
        <v>22510.5</v>
      </c>
      <c r="F399" s="602"/>
      <c r="G399" s="598"/>
      <c r="H399" s="598"/>
    </row>
    <row r="400" spans="1:8" s="596" customFormat="1" ht="15.75">
      <c r="A400" s="646"/>
      <c r="B400" s="641">
        <f t="shared" si="18"/>
        <v>9445.83</v>
      </c>
      <c r="C400" s="679" t="s">
        <v>88</v>
      </c>
      <c r="D400" s="678">
        <v>230110</v>
      </c>
      <c r="E400" s="640">
        <v>0</v>
      </c>
      <c r="F400" s="602"/>
      <c r="G400" s="598"/>
      <c r="H400" s="598"/>
    </row>
    <row r="401" spans="1:8" s="596" customFormat="1" ht="15.75">
      <c r="A401" s="646"/>
      <c r="B401" s="641">
        <f t="shared" si="18"/>
        <v>19044</v>
      </c>
      <c r="C401" s="679" t="s">
        <v>516</v>
      </c>
      <c r="D401" s="678">
        <v>230111</v>
      </c>
      <c r="E401" s="640">
        <v>9249</v>
      </c>
      <c r="F401" s="602"/>
      <c r="G401" s="598"/>
      <c r="H401" s="598"/>
    </row>
    <row r="402" spans="1:8" s="596" customFormat="1" ht="15.75">
      <c r="A402" s="646"/>
      <c r="B402" s="641">
        <f>+E402</f>
        <v>9942</v>
      </c>
      <c r="C402" s="679" t="s">
        <v>679</v>
      </c>
      <c r="D402" s="678">
        <v>230112</v>
      </c>
      <c r="E402" s="640">
        <v>9942</v>
      </c>
      <c r="F402" s="602"/>
      <c r="G402" s="598"/>
      <c r="H402" s="598"/>
    </row>
    <row r="403" spans="1:8" s="596" customFormat="1" ht="15.75">
      <c r="A403" s="646"/>
      <c r="B403" s="641">
        <f aca="true" t="shared" si="19" ref="B403:B416">B307+E403</f>
        <v>181.8</v>
      </c>
      <c r="C403" s="667" t="s">
        <v>57</v>
      </c>
      <c r="D403" s="678">
        <v>110602</v>
      </c>
      <c r="E403" s="640">
        <v>69.15</v>
      </c>
      <c r="F403" s="602"/>
      <c r="G403" s="598"/>
      <c r="H403" s="598"/>
    </row>
    <row r="404" spans="1:8" s="596" customFormat="1" ht="15.75">
      <c r="A404" s="637"/>
      <c r="B404" s="641">
        <f t="shared" si="19"/>
        <v>1815</v>
      </c>
      <c r="C404" s="667" t="s">
        <v>60</v>
      </c>
      <c r="D404" s="678">
        <v>110604</v>
      </c>
      <c r="E404" s="640">
        <v>0</v>
      </c>
      <c r="F404" s="602"/>
      <c r="G404" s="598"/>
      <c r="H404" s="598"/>
    </row>
    <row r="405" spans="1:8" s="596" customFormat="1" ht="15.75">
      <c r="A405" s="637"/>
      <c r="B405" s="641">
        <f t="shared" si="19"/>
        <v>0</v>
      </c>
      <c r="C405" s="667" t="s">
        <v>130</v>
      </c>
      <c r="D405" s="678">
        <v>110605</v>
      </c>
      <c r="E405" s="640">
        <v>0</v>
      </c>
      <c r="F405" s="602"/>
      <c r="G405" s="598"/>
      <c r="H405" s="598"/>
    </row>
    <row r="406" spans="1:8" s="596" customFormat="1" ht="15.75">
      <c r="A406" s="637"/>
      <c r="B406" s="641">
        <f t="shared" si="19"/>
        <v>0</v>
      </c>
      <c r="C406" s="667" t="s">
        <v>152</v>
      </c>
      <c r="D406" s="678">
        <v>110606</v>
      </c>
      <c r="E406" s="640">
        <v>0</v>
      </c>
      <c r="F406" s="602"/>
      <c r="G406" s="598"/>
      <c r="H406" s="598"/>
    </row>
    <row r="407" spans="1:8" s="596" customFormat="1" ht="15.75">
      <c r="A407" s="637"/>
      <c r="B407" s="641">
        <f t="shared" si="19"/>
        <v>0</v>
      </c>
      <c r="C407" s="679" t="s">
        <v>360</v>
      </c>
      <c r="D407" s="678">
        <v>300000</v>
      </c>
      <c r="E407" s="640">
        <v>0</v>
      </c>
      <c r="F407" s="602"/>
      <c r="G407" s="598"/>
      <c r="H407" s="598"/>
    </row>
    <row r="408" spans="1:8" s="596" customFormat="1" ht="15.75">
      <c r="A408" s="637"/>
      <c r="B408" s="641">
        <f t="shared" si="19"/>
        <v>700</v>
      </c>
      <c r="C408" s="679" t="s">
        <v>361</v>
      </c>
      <c r="D408" s="678">
        <v>441000</v>
      </c>
      <c r="E408" s="640"/>
      <c r="F408" s="602"/>
      <c r="G408" s="598"/>
      <c r="H408" s="598"/>
    </row>
    <row r="409" spans="1:8" s="596" customFormat="1" ht="15.75">
      <c r="A409" s="637"/>
      <c r="B409" s="641">
        <f t="shared" si="19"/>
        <v>0</v>
      </c>
      <c r="C409" s="679" t="s">
        <v>367</v>
      </c>
      <c r="D409" s="678">
        <v>441000</v>
      </c>
      <c r="E409" s="640">
        <v>0</v>
      </c>
      <c r="F409" s="602"/>
      <c r="G409" s="598"/>
      <c r="H409" s="598"/>
    </row>
    <row r="410" spans="1:8" s="596" customFormat="1" ht="15.75">
      <c r="A410" s="637"/>
      <c r="B410" s="641">
        <f t="shared" si="19"/>
        <v>0</v>
      </c>
      <c r="C410" s="679" t="s">
        <v>426</v>
      </c>
      <c r="D410" s="678">
        <v>441000</v>
      </c>
      <c r="E410" s="640">
        <v>0</v>
      </c>
      <c r="F410" s="602"/>
      <c r="G410" s="598"/>
      <c r="H410" s="598"/>
    </row>
    <row r="411" spans="1:8" s="596" customFormat="1" ht="15.75">
      <c r="A411" s="637"/>
      <c r="B411" s="641">
        <f t="shared" si="19"/>
        <v>1400</v>
      </c>
      <c r="C411" s="679" t="s">
        <v>606</v>
      </c>
      <c r="D411" s="678">
        <v>300000</v>
      </c>
      <c r="E411" s="640">
        <v>0</v>
      </c>
      <c r="F411" s="602"/>
      <c r="G411" s="598"/>
      <c r="H411" s="598"/>
    </row>
    <row r="412" spans="1:8" s="596" customFormat="1" ht="15.75">
      <c r="A412" s="637"/>
      <c r="B412" s="641">
        <f t="shared" si="19"/>
        <v>0</v>
      </c>
      <c r="C412" s="679" t="s">
        <v>430</v>
      </c>
      <c r="D412" s="678">
        <v>532000</v>
      </c>
      <c r="E412" s="640">
        <v>0</v>
      </c>
      <c r="F412" s="602"/>
      <c r="G412" s="598"/>
      <c r="H412" s="598"/>
    </row>
    <row r="413" spans="1:8" s="596" customFormat="1" ht="15.75">
      <c r="A413" s="637"/>
      <c r="B413" s="641">
        <f t="shared" si="19"/>
        <v>0</v>
      </c>
      <c r="C413" s="679" t="s">
        <v>313</v>
      </c>
      <c r="D413" s="678">
        <v>230200</v>
      </c>
      <c r="E413" s="640">
        <v>0</v>
      </c>
      <c r="F413" s="602"/>
      <c r="G413" s="598"/>
      <c r="H413" s="598"/>
    </row>
    <row r="414" spans="1:8" s="596" customFormat="1" ht="15.75">
      <c r="A414" s="637"/>
      <c r="B414" s="641">
        <f t="shared" si="19"/>
        <v>310</v>
      </c>
      <c r="C414" s="679" t="s">
        <v>424</v>
      </c>
      <c r="D414" s="678">
        <v>522000</v>
      </c>
      <c r="E414" s="640">
        <v>0</v>
      </c>
      <c r="F414" s="602"/>
      <c r="G414" s="598"/>
      <c r="H414" s="598"/>
    </row>
    <row r="415" spans="1:8" s="596" customFormat="1" ht="15.75">
      <c r="A415" s="637"/>
      <c r="B415" s="641">
        <f t="shared" si="19"/>
        <v>9960</v>
      </c>
      <c r="C415" s="679" t="s">
        <v>473</v>
      </c>
      <c r="D415" s="678">
        <v>110605</v>
      </c>
      <c r="E415" s="640">
        <v>0</v>
      </c>
      <c r="F415" s="602"/>
      <c r="G415" s="598"/>
      <c r="H415" s="598"/>
    </row>
    <row r="416" spans="1:8" s="596" customFormat="1" ht="15.75">
      <c r="A416" s="637"/>
      <c r="B416" s="641">
        <f t="shared" si="19"/>
        <v>149.33</v>
      </c>
      <c r="C416" s="679" t="s">
        <v>678</v>
      </c>
      <c r="D416" s="678">
        <v>522000</v>
      </c>
      <c r="E416" s="640">
        <v>149.33</v>
      </c>
      <c r="F416" s="602"/>
      <c r="G416" s="598"/>
      <c r="H416" s="598"/>
    </row>
    <row r="417" spans="1:8" s="596" customFormat="1" ht="15.75">
      <c r="A417" s="637"/>
      <c r="B417" s="641"/>
      <c r="C417" s="679"/>
      <c r="D417" s="678"/>
      <c r="E417" s="640"/>
      <c r="F417" s="602"/>
      <c r="G417" s="598"/>
      <c r="H417" s="598"/>
    </row>
    <row r="418" spans="1:8" s="596" customFormat="1" ht="15.75">
      <c r="A418" s="637"/>
      <c r="B418" s="641"/>
      <c r="C418" s="679"/>
      <c r="D418" s="678"/>
      <c r="E418" s="640"/>
      <c r="F418" s="602"/>
      <c r="G418" s="598"/>
      <c r="H418" s="598"/>
    </row>
    <row r="419" spans="1:8" s="596" customFormat="1" ht="15.75">
      <c r="A419" s="637"/>
      <c r="B419" s="640"/>
      <c r="C419" s="679"/>
      <c r="D419" s="676"/>
      <c r="E419" s="640"/>
      <c r="F419" s="602"/>
      <c r="G419" s="598"/>
      <c r="H419" s="598"/>
    </row>
    <row r="420" spans="1:8" s="596" customFormat="1" ht="15.75">
      <c r="A420" s="637"/>
      <c r="B420" s="662">
        <f>SUM(B394:B419)</f>
        <v>11607886.040000001</v>
      </c>
      <c r="C420" s="679"/>
      <c r="D420" s="645"/>
      <c r="E420" s="662">
        <f>SUM(E394:E419)</f>
        <v>5667836.100000001</v>
      </c>
      <c r="F420" s="601"/>
      <c r="G420" s="598"/>
      <c r="H420" s="598"/>
    </row>
    <row r="421" spans="1:8" s="596" customFormat="1" ht="16.5" thickBot="1">
      <c r="A421" s="637"/>
      <c r="B421" s="642">
        <f>SUM(B420+B393)</f>
        <v>36681023.72</v>
      </c>
      <c r="C421" s="680" t="s">
        <v>32</v>
      </c>
      <c r="D421" s="645"/>
      <c r="E421" s="642">
        <f>SUM(E393,E420)</f>
        <v>10448494.39</v>
      </c>
      <c r="F421" s="601"/>
      <c r="G421" s="598"/>
      <c r="H421" s="598"/>
    </row>
    <row r="422" spans="1:8" s="596" customFormat="1" ht="16.5" thickTop="1">
      <c r="A422" s="637"/>
      <c r="B422" s="637"/>
      <c r="C422" s="637"/>
      <c r="D422" s="637"/>
      <c r="E422" s="637"/>
      <c r="G422" s="598"/>
      <c r="H422" s="598"/>
    </row>
    <row r="423" spans="1:8" s="596" customFormat="1" ht="15.75">
      <c r="A423" s="637"/>
      <c r="B423" s="637"/>
      <c r="C423" s="637"/>
      <c r="D423" s="637"/>
      <c r="E423" s="637"/>
      <c r="G423" s="598"/>
      <c r="H423" s="598"/>
    </row>
    <row r="424" spans="1:8" s="596" customFormat="1" ht="15.75">
      <c r="A424" s="637"/>
      <c r="B424" s="637"/>
      <c r="C424" s="637"/>
      <c r="D424" s="637"/>
      <c r="E424" s="637"/>
      <c r="G424" s="598"/>
      <c r="H424" s="598"/>
    </row>
    <row r="425" spans="1:8" s="596" customFormat="1" ht="15.75">
      <c r="A425" s="637"/>
      <c r="B425" s="637"/>
      <c r="C425" s="637"/>
      <c r="D425" s="637"/>
      <c r="E425" s="637"/>
      <c r="G425" s="598"/>
      <c r="H425" s="598"/>
    </row>
    <row r="426" spans="1:9" s="596" customFormat="1" ht="15.75">
      <c r="A426" s="637"/>
      <c r="B426" s="637"/>
      <c r="C426" s="637"/>
      <c r="D426" s="637"/>
      <c r="E426" s="637"/>
      <c r="G426" s="604" t="s">
        <v>700</v>
      </c>
      <c r="H426" s="598" t="s">
        <v>701</v>
      </c>
      <c r="I426" s="605" t="s">
        <v>702</v>
      </c>
    </row>
    <row r="427" spans="1:9" s="596" customFormat="1" ht="15.75">
      <c r="A427" s="754" t="s">
        <v>155</v>
      </c>
      <c r="B427" s="754"/>
      <c r="C427" s="675"/>
      <c r="D427" s="675"/>
      <c r="E427" s="660" t="s">
        <v>157</v>
      </c>
      <c r="F427" s="600"/>
      <c r="G427" s="598">
        <f>+B393</f>
        <v>25073137.68</v>
      </c>
      <c r="H427" s="598">
        <f>SUM(G431:G440)</f>
        <v>9542615.81</v>
      </c>
      <c r="I427" s="606">
        <f>+B444</f>
        <v>8948998.07</v>
      </c>
    </row>
    <row r="428" spans="1:9" s="596" customFormat="1" ht="21.75" thickBot="1">
      <c r="A428" s="638" t="s">
        <v>16</v>
      </c>
      <c r="B428" s="638" t="s">
        <v>156</v>
      </c>
      <c r="C428" s="638" t="s">
        <v>0</v>
      </c>
      <c r="D428" s="638" t="s">
        <v>139</v>
      </c>
      <c r="E428" s="638" t="s">
        <v>156</v>
      </c>
      <c r="F428" s="600"/>
      <c r="G428" s="598"/>
      <c r="H428" s="598" t="s">
        <v>318</v>
      </c>
      <c r="I428" s="607">
        <f>+G427-H427-I427</f>
        <v>6581523.799999999</v>
      </c>
    </row>
    <row r="429" spans="1:8" s="596" customFormat="1" ht="16.5" thickTop="1">
      <c r="A429" s="639" t="s">
        <v>49</v>
      </c>
      <c r="B429" s="639" t="s">
        <v>49</v>
      </c>
      <c r="C429" s="676"/>
      <c r="D429" s="676"/>
      <c r="E429" s="639" t="s">
        <v>49</v>
      </c>
      <c r="F429" s="600"/>
      <c r="G429" s="598"/>
      <c r="H429" s="598"/>
    </row>
    <row r="430" spans="1:8" s="596" customFormat="1" ht="15.75">
      <c r="A430" s="640"/>
      <c r="B430" s="640"/>
      <c r="C430" s="677" t="s">
        <v>30</v>
      </c>
      <c r="D430" s="667"/>
      <c r="E430" s="663"/>
      <c r="F430" s="602"/>
      <c r="G430" s="598" t="s">
        <v>699</v>
      </c>
      <c r="H430" s="604" t="s">
        <v>318</v>
      </c>
    </row>
    <row r="431" spans="1:8" s="596" customFormat="1" ht="17.25">
      <c r="A431" s="640">
        <v>1423230</v>
      </c>
      <c r="B431" s="641">
        <f aca="true" t="shared" si="20" ref="B431:B443">+E431+B335</f>
        <v>596714.61</v>
      </c>
      <c r="C431" s="667" t="s">
        <v>11</v>
      </c>
      <c r="D431" s="681">
        <v>510000</v>
      </c>
      <c r="E431" s="664">
        <v>14995</v>
      </c>
      <c r="F431" s="603" t="s">
        <v>11</v>
      </c>
      <c r="G431" s="598">
        <f aca="true" t="shared" si="21" ref="G431:G440">+E431*7</f>
        <v>104965</v>
      </c>
      <c r="H431" s="598">
        <f aca="true" t="shared" si="22" ref="H431:H440">+A431-B431-G431</f>
        <v>721550.39</v>
      </c>
    </row>
    <row r="432" spans="1:8" s="596" customFormat="1" ht="17.25">
      <c r="A432" s="640">
        <v>2624640</v>
      </c>
      <c r="B432" s="641">
        <f t="shared" si="20"/>
        <v>1083618</v>
      </c>
      <c r="C432" s="667" t="s">
        <v>162</v>
      </c>
      <c r="D432" s="681">
        <v>521000</v>
      </c>
      <c r="E432" s="665">
        <v>218720</v>
      </c>
      <c r="F432" s="603" t="s">
        <v>162</v>
      </c>
      <c r="G432" s="598">
        <f t="shared" si="21"/>
        <v>1531040</v>
      </c>
      <c r="H432" s="598">
        <f t="shared" si="22"/>
        <v>9982</v>
      </c>
    </row>
    <row r="433" spans="1:8" s="596" customFormat="1" ht="17.25">
      <c r="A433" s="640">
        <f>2150000+300000+76000+750000+100000+21000+350000+50000+21000</f>
        <v>3818000</v>
      </c>
      <c r="B433" s="641">
        <f t="shared" si="20"/>
        <v>1704372.16</v>
      </c>
      <c r="C433" s="667" t="s">
        <v>163</v>
      </c>
      <c r="D433" s="681">
        <v>522000</v>
      </c>
      <c r="E433" s="665">
        <v>640597</v>
      </c>
      <c r="F433" s="603" t="s">
        <v>163</v>
      </c>
      <c r="G433" s="598">
        <f t="shared" si="21"/>
        <v>4484179</v>
      </c>
      <c r="H433" s="598">
        <f t="shared" si="22"/>
        <v>-2370551.16</v>
      </c>
    </row>
    <row r="434" spans="1:8" s="596" customFormat="1" ht="17.25">
      <c r="A434" s="640">
        <f>300000+55000</f>
        <v>355000</v>
      </c>
      <c r="B434" s="641">
        <f t="shared" si="20"/>
        <v>136425</v>
      </c>
      <c r="C434" s="667" t="s">
        <v>3</v>
      </c>
      <c r="D434" s="681">
        <v>220400</v>
      </c>
      <c r="E434" s="665">
        <v>27285</v>
      </c>
      <c r="F434" s="603" t="s">
        <v>3</v>
      </c>
      <c r="G434" s="598">
        <f t="shared" si="21"/>
        <v>190995</v>
      </c>
      <c r="H434" s="598">
        <f t="shared" si="22"/>
        <v>27580</v>
      </c>
    </row>
    <row r="435" spans="1:8" s="596" customFormat="1" ht="17.25">
      <c r="A435" s="640">
        <f>980000+580000+115000+70000+20000+10000+230000+120000</f>
        <v>2125000</v>
      </c>
      <c r="B435" s="641">
        <f t="shared" si="20"/>
        <v>815570</v>
      </c>
      <c r="C435" s="667" t="s">
        <v>4</v>
      </c>
      <c r="D435" s="681">
        <v>220600</v>
      </c>
      <c r="E435" s="665">
        <v>148970</v>
      </c>
      <c r="F435" s="603" t="s">
        <v>4</v>
      </c>
      <c r="G435" s="598">
        <f t="shared" si="21"/>
        <v>1042790</v>
      </c>
      <c r="H435" s="598">
        <f t="shared" si="22"/>
        <v>266640</v>
      </c>
    </row>
    <row r="436" spans="1:8" s="596" customFormat="1" ht="17.25">
      <c r="A436" s="640">
        <f>514000+160000+50000+10500+100000</f>
        <v>834500</v>
      </c>
      <c r="B436" s="641">
        <f t="shared" si="20"/>
        <v>147275</v>
      </c>
      <c r="C436" s="667" t="s">
        <v>5</v>
      </c>
      <c r="D436" s="681">
        <v>531000</v>
      </c>
      <c r="E436" s="665">
        <v>40300</v>
      </c>
      <c r="F436" s="603" t="s">
        <v>5</v>
      </c>
      <c r="G436" s="598">
        <f t="shared" si="21"/>
        <v>282100</v>
      </c>
      <c r="H436" s="598">
        <f t="shared" si="22"/>
        <v>405125</v>
      </c>
    </row>
    <row r="437" spans="1:8" s="596" customFormat="1" ht="17.25">
      <c r="A437" s="640">
        <f>1215000+160000+170000+160000+1200630+100000+80000+50000+700000+395000+550000+420000+100000+30000+150000</f>
        <v>5480630</v>
      </c>
      <c r="B437" s="641">
        <f t="shared" si="20"/>
        <v>1553344.4</v>
      </c>
      <c r="C437" s="667" t="s">
        <v>6</v>
      </c>
      <c r="D437" s="681">
        <v>532000</v>
      </c>
      <c r="E437" s="665">
        <v>101827.5</v>
      </c>
      <c r="F437" s="603" t="s">
        <v>6</v>
      </c>
      <c r="G437" s="598">
        <f t="shared" si="21"/>
        <v>712792.5</v>
      </c>
      <c r="H437" s="598">
        <f t="shared" si="22"/>
        <v>3214493.1</v>
      </c>
    </row>
    <row r="438" spans="1:8" s="596" customFormat="1" ht="17.25">
      <c r="A438" s="640">
        <f>780000+100000+32500+2054500+100000+100000+180000+680000+50000+50000</f>
        <v>4127000</v>
      </c>
      <c r="B438" s="641">
        <f t="shared" si="20"/>
        <v>417741</v>
      </c>
      <c r="C438" s="667" t="s">
        <v>7</v>
      </c>
      <c r="D438" s="681">
        <v>533000</v>
      </c>
      <c r="E438" s="665">
        <v>71820</v>
      </c>
      <c r="F438" s="603" t="s">
        <v>7</v>
      </c>
      <c r="G438" s="598">
        <f t="shared" si="21"/>
        <v>502740</v>
      </c>
      <c r="H438" s="598">
        <f t="shared" si="22"/>
        <v>3206519</v>
      </c>
    </row>
    <row r="439" spans="1:8" s="596" customFormat="1" ht="17.25">
      <c r="A439" s="640">
        <f>460000+470000</f>
        <v>930000</v>
      </c>
      <c r="B439" s="641">
        <f t="shared" si="20"/>
        <v>315107.9</v>
      </c>
      <c r="C439" s="667" t="s">
        <v>8</v>
      </c>
      <c r="D439" s="681">
        <v>534000</v>
      </c>
      <c r="E439" s="665">
        <v>78716.33</v>
      </c>
      <c r="F439" s="603" t="s">
        <v>8</v>
      </c>
      <c r="G439" s="598">
        <f t="shared" si="21"/>
        <v>551014.31</v>
      </c>
      <c r="H439" s="598">
        <f t="shared" si="22"/>
        <v>63877.78999999992</v>
      </c>
    </row>
    <row r="440" spans="1:8" s="596" customFormat="1" ht="17.25">
      <c r="A440" s="640">
        <f>150000+148000+92000+100000</f>
        <v>490000</v>
      </c>
      <c r="B440" s="641">
        <f t="shared" si="20"/>
        <v>113630</v>
      </c>
      <c r="C440" s="667" t="s">
        <v>9</v>
      </c>
      <c r="D440" s="681">
        <v>541000</v>
      </c>
      <c r="E440" s="665">
        <v>20000</v>
      </c>
      <c r="F440" s="603" t="s">
        <v>9</v>
      </c>
      <c r="G440" s="598">
        <f t="shared" si="21"/>
        <v>140000</v>
      </c>
      <c r="H440" s="598">
        <f t="shared" si="22"/>
        <v>236370</v>
      </c>
    </row>
    <row r="441" spans="1:8" s="596" customFormat="1" ht="17.25">
      <c r="A441" s="640">
        <f>743200+97100+3552900</f>
        <v>4393200</v>
      </c>
      <c r="B441" s="641">
        <f t="shared" si="20"/>
        <v>132200</v>
      </c>
      <c r="C441" s="667" t="s">
        <v>10</v>
      </c>
      <c r="D441" s="681">
        <v>542000</v>
      </c>
      <c r="E441" s="665">
        <v>0</v>
      </c>
      <c r="F441" s="603" t="s">
        <v>10</v>
      </c>
      <c r="G441" s="598"/>
      <c r="H441" s="598"/>
    </row>
    <row r="442" spans="1:8" s="596" customFormat="1" ht="17.25">
      <c r="A442" s="640">
        <f>20000+3684000+240000+30000+40000+69000+10000</f>
        <v>4093000</v>
      </c>
      <c r="B442" s="641">
        <f t="shared" si="20"/>
        <v>1933000</v>
      </c>
      <c r="C442" s="667" t="s">
        <v>13</v>
      </c>
      <c r="D442" s="678">
        <v>560000</v>
      </c>
      <c r="E442" s="665">
        <v>0</v>
      </c>
      <c r="F442" s="603" t="s">
        <v>13</v>
      </c>
      <c r="G442" s="598"/>
      <c r="H442" s="598"/>
    </row>
    <row r="443" spans="1:8" s="596" customFormat="1" ht="15.75">
      <c r="A443" s="640">
        <v>25000</v>
      </c>
      <c r="B443" s="641">
        <f t="shared" si="20"/>
        <v>0</v>
      </c>
      <c r="C443" s="667" t="s">
        <v>12</v>
      </c>
      <c r="D443" s="681">
        <v>550000</v>
      </c>
      <c r="E443" s="666">
        <v>0</v>
      </c>
      <c r="F443" s="603" t="s">
        <v>12</v>
      </c>
      <c r="G443" s="598"/>
      <c r="H443" s="598"/>
    </row>
    <row r="444" spans="1:8" s="596" customFormat="1" ht="16.5" thickBot="1">
      <c r="A444" s="642">
        <f>SUM(A431:A443)</f>
        <v>30719200</v>
      </c>
      <c r="B444" s="642">
        <f>SUM(B431:B443)</f>
        <v>8948998.07</v>
      </c>
      <c r="C444" s="680"/>
      <c r="D444" s="667"/>
      <c r="E444" s="642">
        <f>SUM(E431:E443)</f>
        <v>1363230.83</v>
      </c>
      <c r="F444" s="601"/>
      <c r="G444" s="598"/>
      <c r="H444" s="598"/>
    </row>
    <row r="445" spans="1:8" s="596" customFormat="1" ht="16.5" thickTop="1">
      <c r="A445" s="643"/>
      <c r="B445" s="641">
        <f aca="true" t="shared" si="23" ref="B445:B455">+E445+B349</f>
        <v>497100</v>
      </c>
      <c r="C445" s="667" t="s">
        <v>602</v>
      </c>
      <c r="D445" s="681">
        <v>441000</v>
      </c>
      <c r="E445" s="640">
        <f>143500+30000+1800</f>
        <v>175300</v>
      </c>
      <c r="F445" s="602"/>
      <c r="G445" s="598"/>
      <c r="H445" s="598"/>
    </row>
    <row r="446" spans="1:8" s="596" customFormat="1" ht="15.75">
      <c r="A446" s="644"/>
      <c r="B446" s="641">
        <f t="shared" si="23"/>
        <v>0</v>
      </c>
      <c r="C446" s="667" t="s">
        <v>25</v>
      </c>
      <c r="D446" s="681">
        <v>412210</v>
      </c>
      <c r="E446" s="640">
        <v>0</v>
      </c>
      <c r="F446" s="602"/>
      <c r="G446" s="598" t="s">
        <v>703</v>
      </c>
      <c r="H446" s="598"/>
    </row>
    <row r="447" spans="1:8" s="596" customFormat="1" ht="15.75">
      <c r="A447" s="644"/>
      <c r="B447" s="641">
        <f t="shared" si="23"/>
        <v>530364.33</v>
      </c>
      <c r="C447" s="667" t="s">
        <v>146</v>
      </c>
      <c r="D447" s="678">
        <v>110202</v>
      </c>
      <c r="E447" s="640">
        <v>0</v>
      </c>
      <c r="F447" s="602" t="s">
        <v>704</v>
      </c>
      <c r="G447" s="598">
        <f>+A437+A438+A440</f>
        <v>10097630</v>
      </c>
      <c r="H447" s="598"/>
    </row>
    <row r="448" spans="1:8" s="596" customFormat="1" ht="15.75">
      <c r="A448" s="644"/>
      <c r="B448" s="641">
        <f t="shared" si="23"/>
        <v>204650</v>
      </c>
      <c r="C448" s="667" t="s">
        <v>130</v>
      </c>
      <c r="D448" s="681">
        <v>110605</v>
      </c>
      <c r="E448" s="640">
        <v>0</v>
      </c>
      <c r="F448" s="602" t="s">
        <v>705</v>
      </c>
      <c r="G448" s="598">
        <f>+B437+B438+B440</f>
        <v>2084715.4</v>
      </c>
      <c r="H448" s="598"/>
    </row>
    <row r="449" spans="1:8" s="596" customFormat="1" ht="16.5" thickBot="1">
      <c r="A449" s="644"/>
      <c r="B449" s="641">
        <f t="shared" si="23"/>
        <v>2048200</v>
      </c>
      <c r="C449" s="667" t="s">
        <v>440</v>
      </c>
      <c r="D449" s="681">
        <v>110609</v>
      </c>
      <c r="E449" s="640">
        <v>700200</v>
      </c>
      <c r="F449" s="602" t="s">
        <v>706</v>
      </c>
      <c r="G449" s="608">
        <f>+G447-G448</f>
        <v>8012914.6</v>
      </c>
      <c r="H449" s="598"/>
    </row>
    <row r="450" spans="1:8" s="596" customFormat="1" ht="16.5" thickTop="1">
      <c r="A450" s="644"/>
      <c r="B450" s="641">
        <f t="shared" si="23"/>
        <v>2336620</v>
      </c>
      <c r="C450" s="667" t="s">
        <v>152</v>
      </c>
      <c r="D450" s="678">
        <v>110606</v>
      </c>
      <c r="E450" s="640">
        <v>96000</v>
      </c>
      <c r="F450" s="602"/>
      <c r="G450" s="598"/>
      <c r="H450" s="598"/>
    </row>
    <row r="451" spans="1:8" s="596" customFormat="1" ht="15.75">
      <c r="A451" s="644"/>
      <c r="B451" s="641">
        <f t="shared" si="23"/>
        <v>26251.629999999997</v>
      </c>
      <c r="C451" s="667" t="s">
        <v>26</v>
      </c>
      <c r="D451" s="678">
        <v>230102</v>
      </c>
      <c r="E451" s="640">
        <v>2959.24</v>
      </c>
      <c r="F451" s="602"/>
      <c r="G451" s="604" t="s">
        <v>707</v>
      </c>
      <c r="H451" s="598"/>
    </row>
    <row r="452" spans="1:8" s="596" customFormat="1" ht="15.75">
      <c r="A452" s="644"/>
      <c r="B452" s="641">
        <f t="shared" si="23"/>
        <v>330460</v>
      </c>
      <c r="C452" s="667" t="s">
        <v>364</v>
      </c>
      <c r="D452" s="678">
        <v>230108</v>
      </c>
      <c r="E452" s="640">
        <v>148147</v>
      </c>
      <c r="F452" s="602" t="s">
        <v>704</v>
      </c>
      <c r="G452" s="598">
        <f>+A442</f>
        <v>4093000</v>
      </c>
      <c r="H452" s="598"/>
    </row>
    <row r="453" spans="1:8" s="596" customFormat="1" ht="15.75">
      <c r="A453" s="644"/>
      <c r="B453" s="641">
        <f t="shared" si="23"/>
        <v>1707.67</v>
      </c>
      <c r="C453" s="667" t="s">
        <v>88</v>
      </c>
      <c r="D453" s="682">
        <v>230110</v>
      </c>
      <c r="E453" s="640">
        <v>0</v>
      </c>
      <c r="F453" s="602" t="s">
        <v>705</v>
      </c>
      <c r="G453" s="598">
        <f>+B442</f>
        <v>1933000</v>
      </c>
      <c r="H453" s="598"/>
    </row>
    <row r="454" spans="1:8" s="596" customFormat="1" ht="16.5" thickBot="1">
      <c r="A454" s="644"/>
      <c r="B454" s="641">
        <f t="shared" si="23"/>
        <v>22760.5</v>
      </c>
      <c r="C454" s="667" t="s">
        <v>420</v>
      </c>
      <c r="D454" s="682">
        <v>230109</v>
      </c>
      <c r="E454" s="640">
        <v>22760.5</v>
      </c>
      <c r="F454" s="602" t="s">
        <v>706</v>
      </c>
      <c r="G454" s="608">
        <f>+G452-G453</f>
        <v>2160000</v>
      </c>
      <c r="H454" s="598"/>
    </row>
    <row r="455" spans="1:8" s="596" customFormat="1" ht="16.5" thickTop="1">
      <c r="A455" s="644"/>
      <c r="B455" s="641">
        <f t="shared" si="23"/>
        <v>10245</v>
      </c>
      <c r="C455" s="667" t="s">
        <v>516</v>
      </c>
      <c r="D455" s="682">
        <v>230111</v>
      </c>
      <c r="E455" s="640">
        <v>9795</v>
      </c>
      <c r="F455" s="602"/>
      <c r="G455" s="598"/>
      <c r="H455" s="598"/>
    </row>
    <row r="456" spans="1:8" s="596" customFormat="1" ht="15.75">
      <c r="A456" s="644"/>
      <c r="B456" s="641">
        <f>+E456</f>
        <v>9942</v>
      </c>
      <c r="C456" s="667" t="s">
        <v>679</v>
      </c>
      <c r="D456" s="682">
        <v>230112</v>
      </c>
      <c r="E456" s="640">
        <v>9942</v>
      </c>
      <c r="F456" s="602"/>
      <c r="G456" s="598"/>
      <c r="H456" s="598"/>
    </row>
    <row r="457" spans="1:8" s="596" customFormat="1" ht="15.75">
      <c r="A457" s="644"/>
      <c r="B457" s="641">
        <f>+E457+B360</f>
        <v>0</v>
      </c>
      <c r="C457" s="667" t="s">
        <v>59</v>
      </c>
      <c r="D457" s="682">
        <v>210500</v>
      </c>
      <c r="E457" s="640">
        <v>0</v>
      </c>
      <c r="F457" s="602" t="s">
        <v>704</v>
      </c>
      <c r="G457" s="598">
        <f>+A441</f>
        <v>4393200</v>
      </c>
      <c r="H457" s="598"/>
    </row>
    <row r="458" spans="1:8" s="596" customFormat="1" ht="15.75">
      <c r="A458" s="644"/>
      <c r="B458" s="641">
        <f>+E458+B361</f>
        <v>410610</v>
      </c>
      <c r="C458" s="667" t="s">
        <v>14</v>
      </c>
      <c r="D458" s="682">
        <v>210400</v>
      </c>
      <c r="E458" s="640">
        <v>252700</v>
      </c>
      <c r="F458" s="602" t="s">
        <v>705</v>
      </c>
      <c r="G458" s="598">
        <f>+B441</f>
        <v>132200</v>
      </c>
      <c r="H458" s="598"/>
    </row>
    <row r="459" spans="1:8" s="596" customFormat="1" ht="16.5" thickBot="1">
      <c r="A459" s="644"/>
      <c r="B459" s="641">
        <f>+E459+B362</f>
        <v>122704</v>
      </c>
      <c r="C459" s="667" t="s">
        <v>15</v>
      </c>
      <c r="D459" s="678">
        <v>300000</v>
      </c>
      <c r="E459" s="640">
        <v>115000</v>
      </c>
      <c r="F459" s="602" t="s">
        <v>706</v>
      </c>
      <c r="G459" s="608">
        <f>+G457-G458</f>
        <v>4261000</v>
      </c>
      <c r="H459" s="598"/>
    </row>
    <row r="460" spans="1:8" s="596" customFormat="1" ht="16.5" thickTop="1">
      <c r="A460" s="644"/>
      <c r="B460" s="641">
        <f>+E460+B363</f>
        <v>0</v>
      </c>
      <c r="C460" s="646" t="s">
        <v>532</v>
      </c>
      <c r="D460" s="678">
        <v>441000</v>
      </c>
      <c r="E460" s="640">
        <v>0</v>
      </c>
      <c r="F460" s="602"/>
      <c r="G460" s="598"/>
      <c r="H460" s="598"/>
    </row>
    <row r="461" spans="1:8" s="596" customFormat="1" ht="15.75">
      <c r="A461" s="644"/>
      <c r="B461" s="641">
        <f>+E461+B364</f>
        <v>0</v>
      </c>
      <c r="C461" s="646" t="s">
        <v>533</v>
      </c>
      <c r="D461" s="678">
        <v>441000</v>
      </c>
      <c r="E461" s="640">
        <v>0</v>
      </c>
      <c r="F461" s="602"/>
      <c r="G461" s="598"/>
      <c r="H461" s="598"/>
    </row>
    <row r="462" spans="1:8" s="596" customFormat="1" ht="15.75">
      <c r="A462" s="644"/>
      <c r="B462" s="641"/>
      <c r="C462" s="646"/>
      <c r="D462" s="683"/>
      <c r="E462" s="640"/>
      <c r="F462" s="602"/>
      <c r="G462" s="598"/>
      <c r="H462" s="598"/>
    </row>
    <row r="463" spans="1:8" s="596" customFormat="1" ht="15.75">
      <c r="A463" s="644"/>
      <c r="B463" s="662">
        <f>SUM(B445:B462)</f>
        <v>6551615.13</v>
      </c>
      <c r="C463" s="646"/>
      <c r="D463" s="645"/>
      <c r="E463" s="662">
        <f>SUM(E445:E462)</f>
        <v>1532803.74</v>
      </c>
      <c r="F463" s="601"/>
      <c r="G463" s="598"/>
      <c r="H463" s="598"/>
    </row>
    <row r="464" spans="1:8" s="596" customFormat="1" ht="16.5" thickBot="1">
      <c r="A464" s="647"/>
      <c r="B464" s="642">
        <f>SUM(B463,B444)</f>
        <v>15500613.2</v>
      </c>
      <c r="C464" s="684" t="s">
        <v>31</v>
      </c>
      <c r="D464" s="645"/>
      <c r="E464" s="642">
        <f>SUM(E463,E444)</f>
        <v>2896034.5700000003</v>
      </c>
      <c r="F464" s="601"/>
      <c r="G464" s="598"/>
      <c r="H464" s="598"/>
    </row>
    <row r="465" spans="1:8" s="596" customFormat="1" ht="16.5" thickTop="1">
      <c r="A465" s="637"/>
      <c r="B465" s="667"/>
      <c r="C465" s="659" t="s">
        <v>164</v>
      </c>
      <c r="D465" s="645"/>
      <c r="E465" s="667"/>
      <c r="F465" s="603"/>
      <c r="G465" s="598"/>
      <c r="H465" s="598"/>
    </row>
    <row r="466" spans="1:8" s="596" customFormat="1" ht="15.75">
      <c r="A466" s="637"/>
      <c r="B466" s="668"/>
      <c r="C466" s="659" t="s">
        <v>167</v>
      </c>
      <c r="D466" s="645"/>
      <c r="E466" s="668"/>
      <c r="F466" s="609"/>
      <c r="G466" s="598"/>
      <c r="H466" s="598"/>
    </row>
    <row r="467" spans="1:8" s="596" customFormat="1" ht="15.75">
      <c r="A467" s="637"/>
      <c r="B467" s="668">
        <f>SUM(B421-B464)</f>
        <v>21180410.52</v>
      </c>
      <c r="C467" s="659" t="s">
        <v>165</v>
      </c>
      <c r="D467" s="637"/>
      <c r="E467" s="668">
        <f>SUM(E421-E464)</f>
        <v>7552459.82</v>
      </c>
      <c r="F467" s="609"/>
      <c r="G467" s="598"/>
      <c r="H467" s="598"/>
    </row>
    <row r="468" spans="1:8" s="596" customFormat="1" ht="16.5" thickBot="1">
      <c r="A468" s="637"/>
      <c r="B468" s="669">
        <f>SUM(B383+B421-B464)</f>
        <v>48052023.70999999</v>
      </c>
      <c r="C468" s="659" t="s">
        <v>166</v>
      </c>
      <c r="D468" s="637"/>
      <c r="E468" s="669">
        <f>SUM(E383+E421-E464)</f>
        <v>48052023.709999986</v>
      </c>
      <c r="F468" s="610"/>
      <c r="G468" s="598">
        <f>+งบดุลบัญชี!AI5</f>
        <v>48051423.57000001</v>
      </c>
      <c r="H468" s="598"/>
    </row>
    <row r="469" spans="1:8" s="596" customFormat="1" ht="16.5" thickTop="1">
      <c r="A469" s="637"/>
      <c r="B469" s="670"/>
      <c r="C469" s="659"/>
      <c r="D469" s="637"/>
      <c r="E469" s="670"/>
      <c r="F469" s="610"/>
      <c r="G469" s="598">
        <v>600</v>
      </c>
      <c r="H469" s="598"/>
    </row>
    <row r="470" spans="1:8" s="596" customFormat="1" ht="15.75">
      <c r="A470" s="637"/>
      <c r="B470" s="637"/>
      <c r="C470" s="637"/>
      <c r="D470" s="637"/>
      <c r="E470" s="637"/>
      <c r="G470" s="598">
        <f>SUM(G468:G469)</f>
        <v>48052023.57000001</v>
      </c>
      <c r="H470" s="598"/>
    </row>
    <row r="471" spans="1:8" s="596" customFormat="1" ht="15.75">
      <c r="A471" s="752" t="s">
        <v>642</v>
      </c>
      <c r="B471" s="752"/>
      <c r="C471" s="685" t="s">
        <v>33</v>
      </c>
      <c r="D471" s="752" t="s">
        <v>411</v>
      </c>
      <c r="E471" s="752"/>
      <c r="F471" s="611"/>
      <c r="G471" s="598">
        <f>+G470-E468</f>
        <v>-0.13999997824430466</v>
      </c>
      <c r="H471" s="598"/>
    </row>
    <row r="472" spans="1:8" s="596" customFormat="1" ht="15.75">
      <c r="A472" s="752" t="s">
        <v>36</v>
      </c>
      <c r="B472" s="752"/>
      <c r="C472" s="685" t="s">
        <v>289</v>
      </c>
      <c r="D472" s="752" t="s">
        <v>38</v>
      </c>
      <c r="E472" s="752"/>
      <c r="F472" s="611"/>
      <c r="G472" s="598"/>
      <c r="H472" s="598"/>
    </row>
    <row r="473" spans="1:6" ht="15.75">
      <c r="A473" s="629" t="s">
        <v>29</v>
      </c>
      <c r="D473" s="672" t="s">
        <v>158</v>
      </c>
      <c r="E473" s="648" t="s">
        <v>712</v>
      </c>
      <c r="F473" s="542"/>
    </row>
    <row r="474" spans="1:5" ht="15.75">
      <c r="A474" s="750" t="s">
        <v>154</v>
      </c>
      <c r="B474" s="750"/>
      <c r="C474" s="750"/>
      <c r="D474" s="750"/>
      <c r="E474" s="750"/>
    </row>
    <row r="475" ht="15.75">
      <c r="E475" s="627" t="s">
        <v>603</v>
      </c>
    </row>
    <row r="476" spans="1:5" ht="15.75">
      <c r="A476" s="751" t="s">
        <v>155</v>
      </c>
      <c r="B476" s="751"/>
      <c r="C476" s="620"/>
      <c r="D476" s="620"/>
      <c r="E476" s="649" t="s">
        <v>157</v>
      </c>
    </row>
    <row r="477" spans="1:5" ht="15.75">
      <c r="A477" s="621" t="s">
        <v>16</v>
      </c>
      <c r="B477" s="621" t="s">
        <v>156</v>
      </c>
      <c r="C477" s="621" t="s">
        <v>0</v>
      </c>
      <c r="D477" s="621" t="s">
        <v>139</v>
      </c>
      <c r="E477" s="621" t="s">
        <v>156</v>
      </c>
    </row>
    <row r="478" spans="1:5" ht="15.75">
      <c r="A478" s="630" t="s">
        <v>49</v>
      </c>
      <c r="B478" s="630" t="s">
        <v>49</v>
      </c>
      <c r="C478" s="616"/>
      <c r="D478" s="616"/>
      <c r="E478" s="630" t="s">
        <v>49</v>
      </c>
    </row>
    <row r="479" spans="1:5" ht="15.75">
      <c r="A479" s="628"/>
      <c r="B479" s="650">
        <v>26871613.18999999</v>
      </c>
      <c r="C479" s="612" t="s">
        <v>159</v>
      </c>
      <c r="D479" s="613"/>
      <c r="E479" s="650">
        <f>+E468</f>
        <v>48052023.709999986</v>
      </c>
    </row>
    <row r="480" spans="1:5" ht="15.75">
      <c r="A480" s="628"/>
      <c r="B480" s="628"/>
      <c r="C480" s="612" t="s">
        <v>160</v>
      </c>
      <c r="D480" s="613"/>
      <c r="E480" s="628"/>
    </row>
    <row r="481" spans="1:5" ht="15.75">
      <c r="A481" s="631">
        <v>191000</v>
      </c>
      <c r="B481" s="631">
        <f>+B385+E481</f>
        <v>159818.81</v>
      </c>
      <c r="C481" s="613" t="s">
        <v>19</v>
      </c>
      <c r="D481" s="614">
        <v>411000</v>
      </c>
      <c r="E481" s="628">
        <v>77447.33</v>
      </c>
    </row>
    <row r="482" spans="1:5" ht="15.75">
      <c r="A482" s="631">
        <v>186700</v>
      </c>
      <c r="B482" s="631">
        <f aca="true" t="shared" si="24" ref="B482:B488">+B386+E482</f>
        <v>182400.8</v>
      </c>
      <c r="C482" s="613" t="s">
        <v>357</v>
      </c>
      <c r="D482" s="614">
        <v>412000</v>
      </c>
      <c r="E482" s="628">
        <v>111191.4</v>
      </c>
    </row>
    <row r="483" spans="1:5" ht="15.75">
      <c r="A483" s="631">
        <v>291000</v>
      </c>
      <c r="B483" s="631">
        <f t="shared" si="24"/>
        <v>141552.48</v>
      </c>
      <c r="C483" s="613" t="s">
        <v>21</v>
      </c>
      <c r="D483" s="614">
        <v>413000</v>
      </c>
      <c r="E483" s="628">
        <v>27198.27</v>
      </c>
    </row>
    <row r="484" spans="1:5" ht="15.75">
      <c r="A484" s="631">
        <v>180000</v>
      </c>
      <c r="B484" s="631">
        <f t="shared" si="24"/>
        <v>101345</v>
      </c>
      <c r="C484" s="613" t="s">
        <v>23</v>
      </c>
      <c r="D484" s="614">
        <v>414000</v>
      </c>
      <c r="E484" s="628">
        <v>14015</v>
      </c>
    </row>
    <row r="485" spans="1:5" ht="15.75">
      <c r="A485" s="631">
        <v>120000</v>
      </c>
      <c r="B485" s="631">
        <f t="shared" si="24"/>
        <v>38520</v>
      </c>
      <c r="C485" s="613" t="s">
        <v>20</v>
      </c>
      <c r="D485" s="614">
        <v>415000</v>
      </c>
      <c r="E485" s="628">
        <v>2570</v>
      </c>
    </row>
    <row r="486" spans="1:5" ht="15.75">
      <c r="A486" s="631">
        <v>500</v>
      </c>
      <c r="B486" s="631">
        <f t="shared" si="24"/>
        <v>0</v>
      </c>
      <c r="C486" s="613" t="s">
        <v>125</v>
      </c>
      <c r="D486" s="614">
        <v>416000</v>
      </c>
      <c r="E486" s="628">
        <v>0</v>
      </c>
    </row>
    <row r="487" spans="1:5" ht="15.75">
      <c r="A487" s="631">
        <v>12750000</v>
      </c>
      <c r="B487" s="631">
        <f t="shared" si="24"/>
        <v>6904370.82</v>
      </c>
      <c r="C487" s="613" t="s">
        <v>50</v>
      </c>
      <c r="D487" s="614">
        <v>421000</v>
      </c>
      <c r="E487" s="628">
        <v>86262.23</v>
      </c>
    </row>
    <row r="488" spans="1:5" ht="15.75">
      <c r="A488" s="631">
        <v>17000000</v>
      </c>
      <c r="B488" s="631">
        <f t="shared" si="24"/>
        <v>17863814</v>
      </c>
      <c r="C488" s="613" t="s">
        <v>22</v>
      </c>
      <c r="D488" s="614">
        <v>431002</v>
      </c>
      <c r="E488" s="628">
        <v>0</v>
      </c>
    </row>
    <row r="489" spans="1:5" ht="16.5" thickBot="1">
      <c r="A489" s="632">
        <f>SUM(A481:A488)</f>
        <v>30719200</v>
      </c>
      <c r="B489" s="632">
        <f>SUM(B481:B488)</f>
        <v>25391821.91</v>
      </c>
      <c r="C489" s="613"/>
      <c r="D489" s="614"/>
      <c r="E489" s="632">
        <f>SUM(E481:E488)</f>
        <v>318684.23</v>
      </c>
    </row>
    <row r="490" spans="1:5" ht="16.5" thickTop="1">
      <c r="A490" s="633"/>
      <c r="B490" s="631">
        <f>B394+E490</f>
        <v>0</v>
      </c>
      <c r="C490" s="613" t="s">
        <v>71</v>
      </c>
      <c r="D490" s="614">
        <v>441000</v>
      </c>
      <c r="E490" s="628">
        <v>0</v>
      </c>
    </row>
    <row r="491" spans="1:6" ht="15.75">
      <c r="A491" s="634"/>
      <c r="B491" s="631">
        <f>B395+E491</f>
        <v>11255520</v>
      </c>
      <c r="C491" s="613" t="s">
        <v>124</v>
      </c>
      <c r="D491" s="614">
        <v>441000</v>
      </c>
      <c r="E491" s="628">
        <v>187800</v>
      </c>
      <c r="F491" s="162">
        <f>SUM(E489:E491)</f>
        <v>506484.23</v>
      </c>
    </row>
    <row r="492" spans="1:6" ht="15.75">
      <c r="A492" s="634"/>
      <c r="B492" s="631">
        <f aca="true" t="shared" si="25" ref="B492:B513">B396+E492</f>
        <v>47324.479999999996</v>
      </c>
      <c r="C492" s="613" t="s">
        <v>26</v>
      </c>
      <c r="D492" s="614">
        <v>230102</v>
      </c>
      <c r="E492" s="628">
        <v>34804.24</v>
      </c>
      <c r="F492" s="162">
        <f>+E492+E493+E494+E497</f>
        <v>147403.72</v>
      </c>
    </row>
    <row r="493" spans="1:5" ht="15.75">
      <c r="A493" s="617"/>
      <c r="B493" s="631">
        <f t="shared" si="25"/>
        <v>331.82</v>
      </c>
      <c r="C493" s="613" t="s">
        <v>161</v>
      </c>
      <c r="D493" s="614">
        <v>230105</v>
      </c>
      <c r="E493" s="628">
        <v>193.48</v>
      </c>
    </row>
    <row r="494" spans="1:5" ht="15.75">
      <c r="A494" s="624"/>
      <c r="B494" s="631">
        <f t="shared" si="25"/>
        <v>554849</v>
      </c>
      <c r="C494" s="613" t="s">
        <v>27</v>
      </c>
      <c r="D494" s="614">
        <v>230108</v>
      </c>
      <c r="E494" s="628">
        <v>102800</v>
      </c>
    </row>
    <row r="495" spans="1:5" ht="15.75">
      <c r="A495" s="624"/>
      <c r="B495" s="631">
        <f t="shared" si="25"/>
        <v>22510.5</v>
      </c>
      <c r="C495" s="613" t="s">
        <v>353</v>
      </c>
      <c r="D495" s="614">
        <v>230109</v>
      </c>
      <c r="E495" s="628">
        <v>0</v>
      </c>
    </row>
    <row r="496" spans="1:5" ht="15.75">
      <c r="A496" s="624"/>
      <c r="B496" s="631">
        <f t="shared" si="25"/>
        <v>9445.83</v>
      </c>
      <c r="C496" s="615" t="s">
        <v>88</v>
      </c>
      <c r="D496" s="614">
        <v>230110</v>
      </c>
      <c r="E496" s="628">
        <v>0</v>
      </c>
    </row>
    <row r="497" spans="1:5" ht="15.75">
      <c r="A497" s="624"/>
      <c r="B497" s="631">
        <f t="shared" si="25"/>
        <v>28650</v>
      </c>
      <c r="C497" s="615" t="s">
        <v>516</v>
      </c>
      <c r="D497" s="614">
        <v>230111</v>
      </c>
      <c r="E497" s="628">
        <v>9606</v>
      </c>
    </row>
    <row r="498" spans="1:5" ht="15.75">
      <c r="A498" s="624"/>
      <c r="B498" s="631">
        <f t="shared" si="25"/>
        <v>10832</v>
      </c>
      <c r="C498" s="615" t="s">
        <v>679</v>
      </c>
      <c r="D498" s="614">
        <v>230112</v>
      </c>
      <c r="E498" s="628">
        <v>890</v>
      </c>
    </row>
    <row r="499" spans="1:5" ht="15.75">
      <c r="A499" s="624"/>
      <c r="B499" s="631">
        <f t="shared" si="25"/>
        <v>181.8</v>
      </c>
      <c r="C499" s="613" t="s">
        <v>57</v>
      </c>
      <c r="D499" s="614">
        <v>110602</v>
      </c>
      <c r="E499" s="628">
        <v>0</v>
      </c>
    </row>
    <row r="500" spans="2:5" ht="15.75">
      <c r="B500" s="631">
        <f t="shared" si="25"/>
        <v>1815</v>
      </c>
      <c r="C500" s="613" t="s">
        <v>60</v>
      </c>
      <c r="D500" s="614">
        <v>110604</v>
      </c>
      <c r="E500" s="628">
        <v>0</v>
      </c>
    </row>
    <row r="501" spans="2:5" ht="15.75">
      <c r="B501" s="631">
        <f t="shared" si="25"/>
        <v>0</v>
      </c>
      <c r="C501" s="613" t="s">
        <v>130</v>
      </c>
      <c r="D501" s="614">
        <v>110605</v>
      </c>
      <c r="E501" s="628">
        <v>0</v>
      </c>
    </row>
    <row r="502" spans="2:5" ht="15.75">
      <c r="B502" s="631">
        <f t="shared" si="25"/>
        <v>0</v>
      </c>
      <c r="C502" s="613" t="s">
        <v>152</v>
      </c>
      <c r="D502" s="614">
        <v>110606</v>
      </c>
      <c r="E502" s="628">
        <v>0</v>
      </c>
    </row>
    <row r="503" spans="2:5" ht="15.75">
      <c r="B503" s="631">
        <f t="shared" si="25"/>
        <v>0</v>
      </c>
      <c r="C503" s="615" t="s">
        <v>360</v>
      </c>
      <c r="D503" s="614">
        <v>300000</v>
      </c>
      <c r="E503" s="628">
        <v>0</v>
      </c>
    </row>
    <row r="504" spans="2:5" ht="15.75">
      <c r="B504" s="631">
        <f t="shared" si="25"/>
        <v>700</v>
      </c>
      <c r="C504" s="615" t="s">
        <v>361</v>
      </c>
      <c r="D504" s="614">
        <v>441000</v>
      </c>
      <c r="E504" s="628">
        <v>0</v>
      </c>
    </row>
    <row r="505" spans="2:5" ht="15.75">
      <c r="B505" s="631">
        <f t="shared" si="25"/>
        <v>0</v>
      </c>
      <c r="C505" s="615" t="s">
        <v>367</v>
      </c>
      <c r="D505" s="614">
        <v>441000</v>
      </c>
      <c r="E505" s="628">
        <v>0</v>
      </c>
    </row>
    <row r="506" spans="2:5" ht="15.75">
      <c r="B506" s="631">
        <f t="shared" si="25"/>
        <v>0</v>
      </c>
      <c r="C506" s="615" t="s">
        <v>426</v>
      </c>
      <c r="D506" s="614">
        <v>441000</v>
      </c>
      <c r="E506" s="628">
        <v>0</v>
      </c>
    </row>
    <row r="507" spans="2:5" ht="15.75">
      <c r="B507" s="631">
        <f t="shared" si="25"/>
        <v>1400</v>
      </c>
      <c r="C507" s="615" t="s">
        <v>606</v>
      </c>
      <c r="D507" s="614">
        <v>300000</v>
      </c>
      <c r="E507" s="628">
        <v>0</v>
      </c>
    </row>
    <row r="508" spans="2:5" ht="15.75">
      <c r="B508" s="631">
        <f t="shared" si="25"/>
        <v>0</v>
      </c>
      <c r="C508" s="615" t="s">
        <v>430</v>
      </c>
      <c r="D508" s="614">
        <v>532000</v>
      </c>
      <c r="E508" s="628">
        <v>0</v>
      </c>
    </row>
    <row r="509" spans="2:5" ht="15.75">
      <c r="B509" s="631">
        <f t="shared" si="25"/>
        <v>0</v>
      </c>
      <c r="C509" s="615" t="s">
        <v>313</v>
      </c>
      <c r="D509" s="614">
        <v>230200</v>
      </c>
      <c r="E509" s="628">
        <v>0</v>
      </c>
    </row>
    <row r="510" spans="2:5" ht="15.75">
      <c r="B510" s="631">
        <f t="shared" si="25"/>
        <v>310</v>
      </c>
      <c r="C510" s="615" t="s">
        <v>424</v>
      </c>
      <c r="D510" s="614">
        <v>522000</v>
      </c>
      <c r="E510" s="628">
        <v>0</v>
      </c>
    </row>
    <row r="511" spans="2:5" ht="15.75">
      <c r="B511" s="631">
        <f t="shared" si="25"/>
        <v>9960</v>
      </c>
      <c r="C511" s="615" t="s">
        <v>473</v>
      </c>
      <c r="D511" s="614">
        <v>110605</v>
      </c>
      <c r="E511" s="628">
        <v>0</v>
      </c>
    </row>
    <row r="512" spans="2:5" ht="15.75">
      <c r="B512" s="631">
        <f t="shared" si="25"/>
        <v>149.33</v>
      </c>
      <c r="C512" s="615" t="s">
        <v>678</v>
      </c>
      <c r="D512" s="614">
        <v>522000</v>
      </c>
      <c r="E512" s="628">
        <v>0</v>
      </c>
    </row>
    <row r="513" spans="2:5" ht="15.75">
      <c r="B513" s="631">
        <f t="shared" si="25"/>
        <v>0.06</v>
      </c>
      <c r="C513" s="615" t="s">
        <v>313</v>
      </c>
      <c r="D513" s="614">
        <v>230200</v>
      </c>
      <c r="E513" s="628">
        <v>0.06</v>
      </c>
    </row>
    <row r="514" spans="2:5" ht="15.75">
      <c r="B514" s="631"/>
      <c r="C514" s="615"/>
      <c r="D514" s="614"/>
      <c r="E514" s="628"/>
    </row>
    <row r="515" spans="2:5" ht="15.75">
      <c r="B515" s="628"/>
      <c r="C515" s="615"/>
      <c r="D515" s="616"/>
      <c r="E515" s="628"/>
    </row>
    <row r="516" spans="2:5" ht="15.75">
      <c r="B516" s="651">
        <f>SUM(B490:B515)</f>
        <v>11943979.820000002</v>
      </c>
      <c r="C516" s="615"/>
      <c r="D516" s="617"/>
      <c r="E516" s="651">
        <f>SUM(E490:E515)</f>
        <v>336093.77999999997</v>
      </c>
    </row>
    <row r="517" spans="2:5" ht="16.5" thickBot="1">
      <c r="B517" s="632">
        <f>SUM(B516+B489)</f>
        <v>37335801.730000004</v>
      </c>
      <c r="C517" s="618" t="s">
        <v>32</v>
      </c>
      <c r="D517" s="617"/>
      <c r="E517" s="632">
        <f>SUM(E489,E516)</f>
        <v>654778.01</v>
      </c>
    </row>
    <row r="518" ht="16.5" thickTop="1"/>
    <row r="519" ht="15.75">
      <c r="B519" s="686"/>
    </row>
    <row r="523" spans="1:5" ht="15.75">
      <c r="A523" s="751" t="s">
        <v>155</v>
      </c>
      <c r="B523" s="751"/>
      <c r="C523" s="620"/>
      <c r="D523" s="620"/>
      <c r="E523" s="649" t="s">
        <v>157</v>
      </c>
    </row>
    <row r="524" spans="1:5" ht="15.75">
      <c r="A524" s="621" t="s">
        <v>16</v>
      </c>
      <c r="B524" s="621" t="s">
        <v>156</v>
      </c>
      <c r="C524" s="621" t="s">
        <v>0</v>
      </c>
      <c r="D524" s="621" t="s">
        <v>139</v>
      </c>
      <c r="E524" s="621" t="s">
        <v>156</v>
      </c>
    </row>
    <row r="525" spans="1:5" ht="15.75">
      <c r="A525" s="630" t="s">
        <v>49</v>
      </c>
      <c r="B525" s="630" t="s">
        <v>49</v>
      </c>
      <c r="C525" s="616"/>
      <c r="D525" s="616"/>
      <c r="E525" s="630" t="s">
        <v>49</v>
      </c>
    </row>
    <row r="526" spans="1:5" ht="15.75">
      <c r="A526" s="628"/>
      <c r="B526" s="628"/>
      <c r="C526" s="612" t="s">
        <v>30</v>
      </c>
      <c r="D526" s="613"/>
      <c r="E526" s="652"/>
    </row>
    <row r="527" spans="1:5" ht="17.25">
      <c r="A527" s="628">
        <v>1423230</v>
      </c>
      <c r="B527" s="631">
        <f>+E527+B431</f>
        <v>611163.61</v>
      </c>
      <c r="C527" s="613" t="s">
        <v>11</v>
      </c>
      <c r="D527" s="622">
        <v>510000</v>
      </c>
      <c r="E527" s="653">
        <v>14449</v>
      </c>
    </row>
    <row r="528" spans="1:5" ht="17.25">
      <c r="A528" s="628">
        <v>2624640</v>
      </c>
      <c r="B528" s="631">
        <f aca="true" t="shared" si="26" ref="B528:B539">+E528+B432</f>
        <v>1302338</v>
      </c>
      <c r="C528" s="613" t="s">
        <v>162</v>
      </c>
      <c r="D528" s="622">
        <v>521000</v>
      </c>
      <c r="E528" s="654">
        <v>218720</v>
      </c>
    </row>
    <row r="529" spans="1:5" ht="17.25">
      <c r="A529" s="628">
        <f>2150000+300000+76000+750000+100000+21000+350000+50000+21000</f>
        <v>3818000</v>
      </c>
      <c r="B529" s="631">
        <f t="shared" si="26"/>
        <v>2005871.16</v>
      </c>
      <c r="C529" s="613" t="s">
        <v>163</v>
      </c>
      <c r="D529" s="622">
        <v>522000</v>
      </c>
      <c r="E529" s="654">
        <v>301499</v>
      </c>
    </row>
    <row r="530" spans="1:5" ht="17.25">
      <c r="A530" s="628">
        <f>300000+55000</f>
        <v>355000</v>
      </c>
      <c r="B530" s="631">
        <f t="shared" si="26"/>
        <v>163710</v>
      </c>
      <c r="C530" s="613" t="s">
        <v>3</v>
      </c>
      <c r="D530" s="622">
        <v>220400</v>
      </c>
      <c r="E530" s="654">
        <v>27285</v>
      </c>
    </row>
    <row r="531" spans="1:5" ht="17.25">
      <c r="A531" s="628">
        <f>980000+580000+115000+70000+20000+10000+230000+120000</f>
        <v>2125000</v>
      </c>
      <c r="B531" s="631">
        <f t="shared" si="26"/>
        <v>971693</v>
      </c>
      <c r="C531" s="613" t="s">
        <v>4</v>
      </c>
      <c r="D531" s="622">
        <v>220600</v>
      </c>
      <c r="E531" s="654">
        <v>156123</v>
      </c>
    </row>
    <row r="532" spans="1:5" ht="17.25">
      <c r="A532" s="628">
        <f>514000+160000+50000+10500+100000</f>
        <v>834500</v>
      </c>
      <c r="B532" s="631">
        <f t="shared" si="26"/>
        <v>174875</v>
      </c>
      <c r="C532" s="613" t="s">
        <v>5</v>
      </c>
      <c r="D532" s="622">
        <v>531000</v>
      </c>
      <c r="E532" s="654">
        <v>27600</v>
      </c>
    </row>
    <row r="533" spans="1:5" ht="17.25">
      <c r="A533" s="628">
        <f>1215000+160000+170000+160000+1200630+100000+80000+50000+700000+395000+550000+420000+100000+30000+150000</f>
        <v>5480630</v>
      </c>
      <c r="B533" s="631">
        <f t="shared" si="26"/>
        <v>1725776.21</v>
      </c>
      <c r="C533" s="613" t="s">
        <v>6</v>
      </c>
      <c r="D533" s="622">
        <v>532000</v>
      </c>
      <c r="E533" s="654">
        <v>172431.81</v>
      </c>
    </row>
    <row r="534" spans="1:5" ht="17.25">
      <c r="A534" s="628">
        <f>780000+100000+32500+2054500+100000+100000+180000+680000+50000+50000</f>
        <v>4127000</v>
      </c>
      <c r="B534" s="631">
        <f t="shared" si="26"/>
        <v>589774</v>
      </c>
      <c r="C534" s="613" t="s">
        <v>7</v>
      </c>
      <c r="D534" s="622">
        <v>533000</v>
      </c>
      <c r="E534" s="654">
        <v>172033</v>
      </c>
    </row>
    <row r="535" spans="1:5" ht="17.25">
      <c r="A535" s="628">
        <f>460000+470000</f>
        <v>930000</v>
      </c>
      <c r="B535" s="631">
        <f t="shared" si="26"/>
        <v>500997.9</v>
      </c>
      <c r="C535" s="613" t="s">
        <v>8</v>
      </c>
      <c r="D535" s="622">
        <v>534000</v>
      </c>
      <c r="E535" s="654">
        <v>185890</v>
      </c>
    </row>
    <row r="536" spans="1:5" ht="17.25">
      <c r="A536" s="628">
        <f>150000+148000+92000+100000</f>
        <v>490000</v>
      </c>
      <c r="B536" s="631">
        <f t="shared" si="26"/>
        <v>134180</v>
      </c>
      <c r="C536" s="613" t="s">
        <v>9</v>
      </c>
      <c r="D536" s="622">
        <v>541000</v>
      </c>
      <c r="E536" s="654">
        <v>20550</v>
      </c>
    </row>
    <row r="537" spans="1:5" ht="17.25">
      <c r="A537" s="628">
        <f>743200+97100+3552900</f>
        <v>4393200</v>
      </c>
      <c r="B537" s="631">
        <f t="shared" si="26"/>
        <v>132200</v>
      </c>
      <c r="C537" s="613" t="s">
        <v>10</v>
      </c>
      <c r="D537" s="622">
        <v>542000</v>
      </c>
      <c r="E537" s="654">
        <v>0</v>
      </c>
    </row>
    <row r="538" spans="1:5" ht="17.25">
      <c r="A538" s="628">
        <f>20000+3684000+240000+30000+40000+69000+10000</f>
        <v>4093000</v>
      </c>
      <c r="B538" s="631">
        <f t="shared" si="26"/>
        <v>2173000</v>
      </c>
      <c r="C538" s="613" t="s">
        <v>13</v>
      </c>
      <c r="D538" s="614">
        <v>560000</v>
      </c>
      <c r="E538" s="654">
        <v>240000</v>
      </c>
    </row>
    <row r="539" spans="1:5" ht="15.75">
      <c r="A539" s="628">
        <v>25000</v>
      </c>
      <c r="B539" s="631">
        <f t="shared" si="26"/>
        <v>0</v>
      </c>
      <c r="C539" s="613" t="s">
        <v>12</v>
      </c>
      <c r="D539" s="622">
        <v>550000</v>
      </c>
      <c r="E539" s="671">
        <v>0</v>
      </c>
    </row>
    <row r="540" spans="1:7" ht="16.5" thickBot="1">
      <c r="A540" s="632">
        <f>SUM(A527:A539)</f>
        <v>30719200</v>
      </c>
      <c r="B540" s="632">
        <f>SUM(B527:B539)</f>
        <v>10485578.879999999</v>
      </c>
      <c r="C540" s="618"/>
      <c r="D540" s="613"/>
      <c r="E540" s="632">
        <f>SUM(E527:E539)</f>
        <v>1536580.81</v>
      </c>
      <c r="F540" s="162">
        <f>10679809.55-B540</f>
        <v>194230.6700000018</v>
      </c>
      <c r="G540" s="151">
        <f>8948998.07+E540</f>
        <v>10485578.88</v>
      </c>
    </row>
    <row r="541" spans="1:5" ht="16.5" thickTop="1">
      <c r="A541" s="633"/>
      <c r="B541" s="631">
        <f>+E541+B445</f>
        <v>668900</v>
      </c>
      <c r="C541" s="613" t="s">
        <v>602</v>
      </c>
      <c r="D541" s="622">
        <v>441000</v>
      </c>
      <c r="E541" s="628">
        <f>140000+30000+1800</f>
        <v>171800</v>
      </c>
    </row>
    <row r="542" spans="1:5" ht="15.75">
      <c r="A542" s="634"/>
      <c r="B542" s="631">
        <f aca="true" t="shared" si="27" ref="B542:B557">+E542+B446</f>
        <v>0</v>
      </c>
      <c r="C542" s="613" t="s">
        <v>25</v>
      </c>
      <c r="D542" s="622">
        <v>412210</v>
      </c>
      <c r="E542" s="628">
        <v>0</v>
      </c>
    </row>
    <row r="543" spans="1:5" ht="15.75">
      <c r="A543" s="634"/>
      <c r="B543" s="631">
        <f t="shared" si="27"/>
        <v>530364.33</v>
      </c>
      <c r="C543" s="613" t="s">
        <v>146</v>
      </c>
      <c r="D543" s="614">
        <v>110202</v>
      </c>
      <c r="E543" s="628">
        <v>0</v>
      </c>
    </row>
    <row r="544" spans="1:5" ht="15.75">
      <c r="A544" s="634"/>
      <c r="B544" s="631">
        <f t="shared" si="27"/>
        <v>220290</v>
      </c>
      <c r="C544" s="613" t="s">
        <v>130</v>
      </c>
      <c r="D544" s="622">
        <v>110605</v>
      </c>
      <c r="E544" s="628">
        <v>15640</v>
      </c>
    </row>
    <row r="545" spans="1:5" ht="15.75">
      <c r="A545" s="634"/>
      <c r="B545" s="631">
        <f t="shared" si="27"/>
        <v>2747300</v>
      </c>
      <c r="C545" s="613" t="s">
        <v>440</v>
      </c>
      <c r="D545" s="622">
        <v>110609</v>
      </c>
      <c r="E545" s="628">
        <v>699100</v>
      </c>
    </row>
    <row r="546" spans="1:5" ht="15.75">
      <c r="A546" s="634"/>
      <c r="B546" s="631">
        <f t="shared" si="27"/>
        <v>2432620</v>
      </c>
      <c r="C546" s="613" t="s">
        <v>152</v>
      </c>
      <c r="D546" s="614">
        <v>110606</v>
      </c>
      <c r="E546" s="628">
        <v>96000</v>
      </c>
    </row>
    <row r="547" spans="1:5" ht="15.75">
      <c r="A547" s="634"/>
      <c r="B547" s="631">
        <f t="shared" si="27"/>
        <v>30138.85</v>
      </c>
      <c r="C547" s="613" t="s">
        <v>26</v>
      </c>
      <c r="D547" s="614">
        <v>230102</v>
      </c>
      <c r="E547" s="628">
        <v>3887.22</v>
      </c>
    </row>
    <row r="548" spans="1:5" ht="15.75">
      <c r="A548" s="634"/>
      <c r="B548" s="631">
        <f t="shared" si="27"/>
        <v>330460</v>
      </c>
      <c r="C548" s="613" t="s">
        <v>364</v>
      </c>
      <c r="D548" s="614">
        <v>230108</v>
      </c>
      <c r="E548" s="628">
        <v>0</v>
      </c>
    </row>
    <row r="549" spans="1:5" ht="15.75">
      <c r="A549" s="634"/>
      <c r="B549" s="631">
        <f t="shared" si="27"/>
        <v>1707.67</v>
      </c>
      <c r="C549" s="613" t="s">
        <v>88</v>
      </c>
      <c r="D549" s="623">
        <v>230110</v>
      </c>
      <c r="E549" s="628">
        <v>0</v>
      </c>
    </row>
    <row r="550" spans="1:5" ht="15.75">
      <c r="A550" s="634"/>
      <c r="B550" s="631">
        <f t="shared" si="27"/>
        <v>22760.5</v>
      </c>
      <c r="C550" s="613" t="s">
        <v>420</v>
      </c>
      <c r="D550" s="623">
        <v>230109</v>
      </c>
      <c r="E550" s="628">
        <v>0</v>
      </c>
    </row>
    <row r="551" spans="1:5" ht="15.75">
      <c r="A551" s="634"/>
      <c r="B551" s="631">
        <f t="shared" si="27"/>
        <v>19494</v>
      </c>
      <c r="C551" s="613" t="s">
        <v>516</v>
      </c>
      <c r="D551" s="623">
        <v>230111</v>
      </c>
      <c r="E551" s="628">
        <v>9249</v>
      </c>
    </row>
    <row r="552" spans="1:5" ht="15.75">
      <c r="A552" s="634"/>
      <c r="B552" s="631">
        <f t="shared" si="27"/>
        <v>9942</v>
      </c>
      <c r="C552" s="613" t="s">
        <v>679</v>
      </c>
      <c r="D552" s="623">
        <v>230112</v>
      </c>
      <c r="E552" s="628">
        <v>0</v>
      </c>
    </row>
    <row r="553" spans="1:5" ht="15.75">
      <c r="A553" s="634"/>
      <c r="B553" s="631">
        <f t="shared" si="27"/>
        <v>0</v>
      </c>
      <c r="C553" s="613" t="s">
        <v>59</v>
      </c>
      <c r="D553" s="623">
        <v>210500</v>
      </c>
      <c r="E553" s="628">
        <v>0</v>
      </c>
    </row>
    <row r="554" spans="1:5" ht="15.75">
      <c r="A554" s="634"/>
      <c r="B554" s="631">
        <f t="shared" si="27"/>
        <v>3577510</v>
      </c>
      <c r="C554" s="613" t="s">
        <v>14</v>
      </c>
      <c r="D554" s="623">
        <v>210400</v>
      </c>
      <c r="E554" s="628">
        <v>3166900</v>
      </c>
    </row>
    <row r="555" spans="1:5" ht="15.75">
      <c r="A555" s="634"/>
      <c r="B555" s="631">
        <f t="shared" si="27"/>
        <v>468504</v>
      </c>
      <c r="C555" s="613" t="s">
        <v>15</v>
      </c>
      <c r="D555" s="614">
        <v>300000</v>
      </c>
      <c r="E555" s="628">
        <v>345800</v>
      </c>
    </row>
    <row r="556" spans="1:5" ht="15.75">
      <c r="A556" s="634"/>
      <c r="B556" s="631">
        <f t="shared" si="27"/>
        <v>93000</v>
      </c>
      <c r="C556" s="624" t="s">
        <v>532</v>
      </c>
      <c r="D556" s="614">
        <v>441000</v>
      </c>
      <c r="E556" s="628">
        <v>93000</v>
      </c>
    </row>
    <row r="557" spans="1:5" ht="15.75">
      <c r="A557" s="634"/>
      <c r="B557" s="631">
        <f t="shared" si="27"/>
        <v>8000</v>
      </c>
      <c r="C557" s="624" t="s">
        <v>740</v>
      </c>
      <c r="D557" s="614">
        <v>441000</v>
      </c>
      <c r="E557" s="628">
        <v>8000</v>
      </c>
    </row>
    <row r="558" spans="1:5" ht="15.75">
      <c r="A558" s="634"/>
      <c r="B558" s="631"/>
      <c r="C558" s="624"/>
      <c r="D558" s="625"/>
      <c r="E558" s="628"/>
    </row>
    <row r="559" spans="1:5" ht="15.75">
      <c r="A559" s="634"/>
      <c r="B559" s="651">
        <f>SUM(B541:B558)</f>
        <v>11160991.35</v>
      </c>
      <c r="C559" s="624"/>
      <c r="D559" s="617"/>
      <c r="E559" s="651">
        <f>SUM(E541:E558)</f>
        <v>4609376.22</v>
      </c>
    </row>
    <row r="560" spans="1:5" ht="16.5" thickBot="1">
      <c r="A560" s="635"/>
      <c r="B560" s="632">
        <f>SUM(B559,B540)</f>
        <v>21646570.229999997</v>
      </c>
      <c r="C560" s="626" t="s">
        <v>31</v>
      </c>
      <c r="D560" s="617"/>
      <c r="E560" s="632">
        <f>SUM(E559,E540)</f>
        <v>6145957.029999999</v>
      </c>
    </row>
    <row r="561" spans="2:5" ht="16.5" thickTop="1">
      <c r="B561" s="613"/>
      <c r="C561" s="627" t="s">
        <v>164</v>
      </c>
      <c r="D561" s="617"/>
      <c r="E561" s="613"/>
    </row>
    <row r="562" spans="2:5" ht="15.75">
      <c r="B562" s="655"/>
      <c r="C562" s="627" t="s">
        <v>167</v>
      </c>
      <c r="D562" s="617"/>
      <c r="E562" s="655"/>
    </row>
    <row r="563" spans="2:5" ht="15.75">
      <c r="B563" s="655">
        <f>SUM(B517-B560)</f>
        <v>15689231.500000007</v>
      </c>
      <c r="C563" s="627" t="s">
        <v>165</v>
      </c>
      <c r="E563" s="655">
        <f>SUM(E517-E560)</f>
        <v>-5491179.02</v>
      </c>
    </row>
    <row r="564" spans="2:6" ht="16.5" thickBot="1">
      <c r="B564" s="656">
        <f>SUM(B479+B517-B560)</f>
        <v>42560844.69</v>
      </c>
      <c r="C564" s="627" t="s">
        <v>166</v>
      </c>
      <c r="E564" s="656">
        <f>SUM(E479+E517-E560)</f>
        <v>42560844.68999998</v>
      </c>
      <c r="F564" s="162">
        <f>+งบดุลบัญชี!AO5</f>
        <v>42560204.73000001</v>
      </c>
    </row>
    <row r="565" spans="2:6" ht="16.5" thickTop="1">
      <c r="B565" s="657"/>
      <c r="C565" s="627"/>
      <c r="E565" s="657"/>
      <c r="F565" s="162">
        <f>+งบดุลบัญชี!AO4</f>
        <v>639.8200000000002</v>
      </c>
    </row>
    <row r="566" ht="15.75">
      <c r="F566" s="162">
        <f>SUM(F564:F565)</f>
        <v>42560844.55000001</v>
      </c>
    </row>
    <row r="567" spans="1:6" ht="15.75">
      <c r="A567" s="749" t="s">
        <v>642</v>
      </c>
      <c r="B567" s="749"/>
      <c r="C567" s="673" t="s">
        <v>33</v>
      </c>
      <c r="D567" s="749" t="s">
        <v>411</v>
      </c>
      <c r="E567" s="749"/>
      <c r="F567" s="162">
        <f>+E564-F566</f>
        <v>0.13999997079372406</v>
      </c>
    </row>
    <row r="568" spans="1:5" ht="15.75">
      <c r="A568" s="749" t="s">
        <v>36</v>
      </c>
      <c r="B568" s="749"/>
      <c r="C568" s="673" t="s">
        <v>289</v>
      </c>
      <c r="D568" s="749" t="s">
        <v>38</v>
      </c>
      <c r="E568" s="749"/>
    </row>
    <row r="572" ht="15.75">
      <c r="C572" s="686">
        <f>+E564-B564</f>
        <v>0</v>
      </c>
    </row>
  </sheetData>
  <sheetProtection/>
  <mergeCells count="50">
    <mergeCell ref="A375:B375"/>
    <mergeCell ref="D375:E375"/>
    <mergeCell ref="A376:B376"/>
    <mergeCell ref="D376:E376"/>
    <mergeCell ref="A283:E283"/>
    <mergeCell ref="A285:B285"/>
    <mergeCell ref="A331:B331"/>
    <mergeCell ref="A374:B374"/>
    <mergeCell ref="D374:E374"/>
    <mergeCell ref="A186:B186"/>
    <mergeCell ref="D186:E186"/>
    <mergeCell ref="A187:B187"/>
    <mergeCell ref="D187:E187"/>
    <mergeCell ref="A95:E95"/>
    <mergeCell ref="A97:B97"/>
    <mergeCell ref="A142:B142"/>
    <mergeCell ref="A185:B185"/>
    <mergeCell ref="D185:E185"/>
    <mergeCell ref="A92:B92"/>
    <mergeCell ref="D92:E92"/>
    <mergeCell ref="A93:B93"/>
    <mergeCell ref="D93:E93"/>
    <mergeCell ref="A2:E2"/>
    <mergeCell ref="A4:B4"/>
    <mergeCell ref="A49:B49"/>
    <mergeCell ref="A91:B91"/>
    <mergeCell ref="D91:E91"/>
    <mergeCell ref="A280:B280"/>
    <mergeCell ref="D280:E280"/>
    <mergeCell ref="A281:B281"/>
    <mergeCell ref="D281:E281"/>
    <mergeCell ref="A189:E189"/>
    <mergeCell ref="A191:B191"/>
    <mergeCell ref="A236:B236"/>
    <mergeCell ref="A279:B279"/>
    <mergeCell ref="D279:E279"/>
    <mergeCell ref="A472:B472"/>
    <mergeCell ref="D472:E472"/>
    <mergeCell ref="A378:E378"/>
    <mergeCell ref="A380:B380"/>
    <mergeCell ref="A427:B427"/>
    <mergeCell ref="A471:B471"/>
    <mergeCell ref="D471:E471"/>
    <mergeCell ref="A568:B568"/>
    <mergeCell ref="D568:E568"/>
    <mergeCell ref="A474:E474"/>
    <mergeCell ref="A476:B476"/>
    <mergeCell ref="A523:B523"/>
    <mergeCell ref="A567:B567"/>
    <mergeCell ref="D567:E567"/>
  </mergeCells>
  <printOptions/>
  <pageMargins left="0.7480314960629921" right="0.5511811023622047" top="0.984251968503937" bottom="0.1968503937007874" header="0.4330708661417323" footer="0.2362204724409449"/>
  <pageSetup horizontalDpi="600" verticalDpi="600" orientation="portrait" paperSize="9" r:id="rId1"/>
  <rowBreaks count="9" manualBreakCount="9">
    <brk id="48" max="8" man="1"/>
    <brk id="93" max="8" man="1"/>
    <brk id="141" max="8" man="1"/>
    <brk id="187" max="8" man="1"/>
    <brk id="235" max="8" man="1"/>
    <brk id="281" max="8" man="1"/>
    <brk id="330" max="8" man="1"/>
    <brk id="376" max="8" man="1"/>
    <brk id="472" max="8" man="1"/>
  </rowBreaks>
  <colBreaks count="1" manualBreakCount="1">
    <brk id="5" max="56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3"/>
  <sheetViews>
    <sheetView view="pageBreakPreview" zoomScale="110" zoomScaleSheetLayoutView="110" zoomScalePageLayoutView="0" workbookViewId="0" topLeftCell="A434">
      <selection activeCell="F470" sqref="F470"/>
    </sheetView>
  </sheetViews>
  <sheetFormatPr defaultColWidth="9.140625" defaultRowHeight="12.75"/>
  <cols>
    <col min="1" max="1" width="13.7109375" style="6" customWidth="1"/>
    <col min="2" max="2" width="15.00390625" style="6" customWidth="1"/>
    <col min="3" max="3" width="34.7109375" style="6" customWidth="1"/>
    <col min="4" max="4" width="11.140625" style="6" customWidth="1"/>
    <col min="5" max="5" width="15.421875" style="6" customWidth="1"/>
    <col min="6" max="6" width="15.57421875" style="6" customWidth="1"/>
    <col min="7" max="7" width="15.00390625" style="151" customWidth="1"/>
    <col min="8" max="8" width="16.140625" style="151" customWidth="1"/>
    <col min="9" max="9" width="14.57421875" style="6" customWidth="1"/>
    <col min="10" max="16384" width="9.140625" style="6" customWidth="1"/>
  </cols>
  <sheetData>
    <row r="1" spans="1:6" ht="15.75">
      <c r="A1" s="35" t="s">
        <v>29</v>
      </c>
      <c r="D1" s="95" t="s">
        <v>158</v>
      </c>
      <c r="E1" s="114" t="s">
        <v>601</v>
      </c>
      <c r="F1" s="114"/>
    </row>
    <row r="2" spans="1:6" ht="15.75">
      <c r="A2" s="741" t="s">
        <v>154</v>
      </c>
      <c r="B2" s="741"/>
      <c r="C2" s="741"/>
      <c r="D2" s="741"/>
      <c r="E2" s="741"/>
      <c r="F2" s="543"/>
    </row>
    <row r="3" spans="5:6" ht="15.75">
      <c r="E3" s="543" t="s">
        <v>603</v>
      </c>
      <c r="F3" s="543"/>
    </row>
    <row r="4" spans="1:6" ht="15.75">
      <c r="A4" s="755" t="s">
        <v>155</v>
      </c>
      <c r="B4" s="755"/>
      <c r="C4" s="96"/>
      <c r="D4" s="96"/>
      <c r="E4" s="545" t="s">
        <v>157</v>
      </c>
      <c r="F4" s="304"/>
    </row>
    <row r="5" spans="1:6" ht="15.75">
      <c r="A5" s="86" t="s">
        <v>16</v>
      </c>
      <c r="B5" s="86" t="s">
        <v>156</v>
      </c>
      <c r="C5" s="86" t="s">
        <v>0</v>
      </c>
      <c r="D5" s="86" t="s">
        <v>139</v>
      </c>
      <c r="E5" s="86" t="s">
        <v>156</v>
      </c>
      <c r="F5" s="304"/>
    </row>
    <row r="6" spans="1:6" ht="15.75">
      <c r="A6" s="97" t="s">
        <v>49</v>
      </c>
      <c r="B6" s="97" t="s">
        <v>49</v>
      </c>
      <c r="C6" s="98"/>
      <c r="D6" s="98"/>
      <c r="E6" s="97" t="s">
        <v>49</v>
      </c>
      <c r="F6" s="304"/>
    </row>
    <row r="7" spans="1:6" ht="15.75">
      <c r="A7" s="18"/>
      <c r="B7" s="19">
        <v>26871613.18999999</v>
      </c>
      <c r="C7" s="87" t="s">
        <v>159</v>
      </c>
      <c r="D7" s="99"/>
      <c r="E7" s="19">
        <v>26871613.18999999</v>
      </c>
      <c r="F7" s="549"/>
    </row>
    <row r="8" spans="1:6" ht="15.75">
      <c r="A8" s="18"/>
      <c r="B8" s="18"/>
      <c r="C8" s="87" t="s">
        <v>160</v>
      </c>
      <c r="D8" s="99"/>
      <c r="E8" s="18"/>
      <c r="F8" s="90"/>
    </row>
    <row r="9" spans="1:6" ht="15.75">
      <c r="A9" s="104">
        <v>191000</v>
      </c>
      <c r="B9" s="104">
        <f>+E9</f>
        <v>34.5</v>
      </c>
      <c r="C9" s="99" t="s">
        <v>19</v>
      </c>
      <c r="D9" s="544">
        <v>411000</v>
      </c>
      <c r="E9" s="18">
        <v>34.5</v>
      </c>
      <c r="F9" s="90"/>
    </row>
    <row r="10" spans="1:6" ht="15.75">
      <c r="A10" s="104">
        <v>186700</v>
      </c>
      <c r="B10" s="104">
        <f aca="true" t="shared" si="0" ref="B10:B16">+E10</f>
        <v>11780</v>
      </c>
      <c r="C10" s="99" t="s">
        <v>357</v>
      </c>
      <c r="D10" s="544">
        <v>412000</v>
      </c>
      <c r="E10" s="18">
        <v>11780</v>
      </c>
      <c r="F10" s="90"/>
    </row>
    <row r="11" spans="1:6" ht="15.75">
      <c r="A11" s="104">
        <v>291000</v>
      </c>
      <c r="B11" s="104">
        <f t="shared" si="0"/>
        <v>0</v>
      </c>
      <c r="C11" s="99" t="s">
        <v>21</v>
      </c>
      <c r="D11" s="544">
        <v>413000</v>
      </c>
      <c r="E11" s="18">
        <v>0</v>
      </c>
      <c r="F11" s="90"/>
    </row>
    <row r="12" spans="1:7" ht="15.75">
      <c r="A12" s="104">
        <v>180000</v>
      </c>
      <c r="B12" s="104">
        <f t="shared" si="0"/>
        <v>12005</v>
      </c>
      <c r="C12" s="99" t="s">
        <v>23</v>
      </c>
      <c r="D12" s="544">
        <v>414000</v>
      </c>
      <c r="E12" s="18">
        <v>12005</v>
      </c>
      <c r="F12" s="90"/>
      <c r="G12" s="151">
        <f>17002-9298</f>
        <v>7704</v>
      </c>
    </row>
    <row r="13" spans="1:6" ht="15.75">
      <c r="A13" s="104">
        <v>120000</v>
      </c>
      <c r="B13" s="104">
        <f t="shared" si="0"/>
        <v>2510</v>
      </c>
      <c r="C13" s="99" t="s">
        <v>20</v>
      </c>
      <c r="D13" s="544">
        <v>415000</v>
      </c>
      <c r="E13" s="18">
        <v>2510</v>
      </c>
      <c r="F13" s="90"/>
    </row>
    <row r="14" spans="1:6" ht="15.75">
      <c r="A14" s="104">
        <v>500</v>
      </c>
      <c r="B14" s="104">
        <f t="shared" si="0"/>
        <v>0</v>
      </c>
      <c r="C14" s="99" t="s">
        <v>125</v>
      </c>
      <c r="D14" s="544">
        <v>416000</v>
      </c>
      <c r="E14" s="18">
        <v>0</v>
      </c>
      <c r="F14" s="90"/>
    </row>
    <row r="15" spans="1:6" ht="15.75">
      <c r="A15" s="104">
        <v>12750000</v>
      </c>
      <c r="B15" s="104">
        <f t="shared" si="0"/>
        <v>628976.32</v>
      </c>
      <c r="C15" s="99" t="s">
        <v>50</v>
      </c>
      <c r="D15" s="544">
        <v>421000</v>
      </c>
      <c r="E15" s="18">
        <v>628976.32</v>
      </c>
      <c r="F15" s="90"/>
    </row>
    <row r="16" spans="1:6" ht="15.75">
      <c r="A16" s="104">
        <v>17000000</v>
      </c>
      <c r="B16" s="104">
        <f t="shared" si="0"/>
        <v>0</v>
      </c>
      <c r="C16" s="99" t="s">
        <v>22</v>
      </c>
      <c r="D16" s="544">
        <v>431002</v>
      </c>
      <c r="E16" s="18">
        <v>0</v>
      </c>
      <c r="F16" s="90"/>
    </row>
    <row r="17" spans="1:7" ht="16.5" thickBot="1">
      <c r="A17" s="89">
        <f>SUM(A9:A16)</f>
        <v>30719200</v>
      </c>
      <c r="B17" s="89">
        <f>SUM(B9:B16)</f>
        <v>655305.82</v>
      </c>
      <c r="C17" s="99"/>
      <c r="D17" s="544"/>
      <c r="E17" s="89">
        <f>SUM(E9:E16)</f>
        <v>655305.82</v>
      </c>
      <c r="F17" s="549"/>
      <c r="G17" s="151">
        <f>+E17-1402899.14</f>
        <v>-747593.32</v>
      </c>
    </row>
    <row r="18" spans="1:6" ht="16.5" thickTop="1">
      <c r="A18" s="100"/>
      <c r="B18" s="104">
        <f>+E18</f>
        <v>0</v>
      </c>
      <c r="C18" s="99" t="s">
        <v>71</v>
      </c>
      <c r="D18" s="544">
        <v>441000</v>
      </c>
      <c r="E18" s="18">
        <v>0</v>
      </c>
      <c r="F18" s="90"/>
    </row>
    <row r="19" spans="1:6" ht="15.75">
      <c r="A19" s="93"/>
      <c r="B19" s="104">
        <f aca="true" t="shared" si="1" ref="B19:B35">+E19</f>
        <v>0</v>
      </c>
      <c r="C19" s="99" t="s">
        <v>124</v>
      </c>
      <c r="D19" s="544">
        <v>441000</v>
      </c>
      <c r="E19" s="18">
        <v>0</v>
      </c>
      <c r="F19" s="90"/>
    </row>
    <row r="20" spans="1:6" ht="15.75">
      <c r="A20" s="93"/>
      <c r="B20" s="104">
        <f t="shared" si="1"/>
        <v>1623.51</v>
      </c>
      <c r="C20" s="99" t="s">
        <v>26</v>
      </c>
      <c r="D20" s="544">
        <v>230102</v>
      </c>
      <c r="E20" s="18">
        <v>1623.51</v>
      </c>
      <c r="F20" s="90"/>
    </row>
    <row r="21" spans="1:6" ht="15.75">
      <c r="A21" s="17"/>
      <c r="B21" s="104">
        <f t="shared" si="1"/>
        <v>7.76</v>
      </c>
      <c r="C21" s="99" t="s">
        <v>161</v>
      </c>
      <c r="D21" s="544">
        <v>230105</v>
      </c>
      <c r="E21" s="18">
        <v>7.76</v>
      </c>
      <c r="F21" s="90"/>
    </row>
    <row r="22" spans="1:6" ht="15.75">
      <c r="A22" s="21"/>
      <c r="B22" s="104">
        <f t="shared" si="1"/>
        <v>6002</v>
      </c>
      <c r="C22" s="99" t="s">
        <v>27</v>
      </c>
      <c r="D22" s="544">
        <v>230108</v>
      </c>
      <c r="E22" s="18">
        <v>6002</v>
      </c>
      <c r="F22" s="90"/>
    </row>
    <row r="23" spans="1:6" ht="15.75" hidden="1">
      <c r="A23" s="21"/>
      <c r="B23" s="104">
        <f t="shared" si="1"/>
        <v>0</v>
      </c>
      <c r="C23" s="99" t="s">
        <v>353</v>
      </c>
      <c r="D23" s="544">
        <v>230199</v>
      </c>
      <c r="E23" s="18">
        <v>0</v>
      </c>
      <c r="F23" s="90"/>
    </row>
    <row r="24" spans="1:6" ht="15.75">
      <c r="A24" s="21"/>
      <c r="B24" s="104">
        <f t="shared" si="1"/>
        <v>0</v>
      </c>
      <c r="C24" s="16" t="s">
        <v>88</v>
      </c>
      <c r="D24" s="544">
        <v>230199</v>
      </c>
      <c r="E24" s="18">
        <v>0</v>
      </c>
      <c r="F24" s="90"/>
    </row>
    <row r="25" spans="1:6" ht="15.75">
      <c r="A25" s="21"/>
      <c r="B25" s="104">
        <f t="shared" si="1"/>
        <v>112.65</v>
      </c>
      <c r="C25" s="99" t="s">
        <v>57</v>
      </c>
      <c r="D25" s="544">
        <v>110602</v>
      </c>
      <c r="E25" s="18">
        <v>112.65</v>
      </c>
      <c r="F25" s="90"/>
    </row>
    <row r="26" spans="2:6" ht="15.75">
      <c r="B26" s="104">
        <f t="shared" si="1"/>
        <v>1720</v>
      </c>
      <c r="C26" s="99" t="s">
        <v>60</v>
      </c>
      <c r="D26" s="544">
        <v>110604</v>
      </c>
      <c r="E26" s="18">
        <v>1720</v>
      </c>
      <c r="F26" s="90"/>
    </row>
    <row r="27" spans="2:6" ht="15.75" hidden="1">
      <c r="B27" s="104">
        <f t="shared" si="1"/>
        <v>0</v>
      </c>
      <c r="C27" s="99" t="s">
        <v>130</v>
      </c>
      <c r="D27" s="544">
        <v>110605</v>
      </c>
      <c r="E27" s="18"/>
      <c r="F27" s="90"/>
    </row>
    <row r="28" spans="2:6" ht="15.75" hidden="1">
      <c r="B28" s="104">
        <f t="shared" si="1"/>
        <v>0</v>
      </c>
      <c r="C28" s="99" t="s">
        <v>152</v>
      </c>
      <c r="D28" s="544">
        <v>110606</v>
      </c>
      <c r="E28" s="18"/>
      <c r="F28" s="90"/>
    </row>
    <row r="29" spans="2:6" ht="15.75" hidden="1">
      <c r="B29" s="104">
        <f t="shared" si="1"/>
        <v>0</v>
      </c>
      <c r="C29" s="16" t="s">
        <v>360</v>
      </c>
      <c r="D29" s="544">
        <v>300000</v>
      </c>
      <c r="E29" s="18"/>
      <c r="F29" s="90"/>
    </row>
    <row r="30" spans="2:6" ht="15.75" hidden="1">
      <c r="B30" s="104">
        <f t="shared" si="1"/>
        <v>0</v>
      </c>
      <c r="C30" s="16" t="s">
        <v>361</v>
      </c>
      <c r="D30" s="544">
        <v>441000</v>
      </c>
      <c r="E30" s="18"/>
      <c r="F30" s="90"/>
    </row>
    <row r="31" spans="2:6" ht="15.75" hidden="1">
      <c r="B31" s="104">
        <f t="shared" si="1"/>
        <v>0</v>
      </c>
      <c r="C31" s="16" t="s">
        <v>367</v>
      </c>
      <c r="D31" s="544">
        <v>441000</v>
      </c>
      <c r="E31" s="18"/>
      <c r="F31" s="90"/>
    </row>
    <row r="32" spans="2:6" ht="15.75" hidden="1">
      <c r="B32" s="104">
        <f t="shared" si="1"/>
        <v>0</v>
      </c>
      <c r="C32" s="16" t="s">
        <v>426</v>
      </c>
      <c r="D32" s="544">
        <v>441000</v>
      </c>
      <c r="E32" s="18"/>
      <c r="F32" s="90"/>
    </row>
    <row r="33" spans="2:6" ht="15.75">
      <c r="B33" s="104">
        <f t="shared" si="1"/>
        <v>1400</v>
      </c>
      <c r="C33" s="16" t="s">
        <v>606</v>
      </c>
      <c r="D33" s="544">
        <v>300000</v>
      </c>
      <c r="E33" s="18">
        <v>1400</v>
      </c>
      <c r="F33" s="90"/>
    </row>
    <row r="34" spans="2:6" ht="15.75" hidden="1">
      <c r="B34" s="104">
        <f t="shared" si="1"/>
        <v>0</v>
      </c>
      <c r="C34" s="16" t="s">
        <v>430</v>
      </c>
      <c r="D34" s="544">
        <v>532000</v>
      </c>
      <c r="E34" s="18"/>
      <c r="F34" s="90"/>
    </row>
    <row r="35" spans="2:6" ht="15.75" hidden="1">
      <c r="B35" s="104">
        <f t="shared" si="1"/>
        <v>0</v>
      </c>
      <c r="C35" s="16" t="s">
        <v>313</v>
      </c>
      <c r="D35" s="544">
        <v>230200</v>
      </c>
      <c r="E35" s="18">
        <v>0</v>
      </c>
      <c r="F35" s="90"/>
    </row>
    <row r="36" spans="2:6" ht="15.75">
      <c r="B36" s="104"/>
      <c r="C36" s="16"/>
      <c r="D36" s="544"/>
      <c r="E36" s="18"/>
      <c r="F36" s="90"/>
    </row>
    <row r="37" spans="2:6" ht="15.75">
      <c r="B37" s="104"/>
      <c r="C37" s="16"/>
      <c r="D37" s="544"/>
      <c r="E37" s="18"/>
      <c r="F37" s="90"/>
    </row>
    <row r="38" spans="2:6" ht="15.75">
      <c r="B38" s="104"/>
      <c r="C38" s="16"/>
      <c r="D38" s="544"/>
      <c r="E38" s="18"/>
      <c r="F38" s="90"/>
    </row>
    <row r="39" spans="2:6" ht="15.75">
      <c r="B39" s="104"/>
      <c r="C39" s="16"/>
      <c r="D39" s="544"/>
      <c r="E39" s="18"/>
      <c r="F39" s="90"/>
    </row>
    <row r="40" spans="2:6" ht="15.75">
      <c r="B40" s="104"/>
      <c r="C40" s="16"/>
      <c r="D40" s="544"/>
      <c r="E40" s="18"/>
      <c r="F40" s="90"/>
    </row>
    <row r="41" spans="2:6" ht="15.75">
      <c r="B41" s="18"/>
      <c r="C41" s="16"/>
      <c r="D41" s="98"/>
      <c r="E41" s="18"/>
      <c r="F41" s="90"/>
    </row>
    <row r="42" spans="2:6" ht="15.75">
      <c r="B42" s="10">
        <f>SUM(B18:B41)</f>
        <v>10865.92</v>
      </c>
      <c r="C42" s="16"/>
      <c r="D42" s="17"/>
      <c r="E42" s="10">
        <f>SUM(E18:E41)</f>
        <v>10865.92</v>
      </c>
      <c r="F42" s="549"/>
    </row>
    <row r="43" spans="2:7" ht="16.5" thickBot="1">
      <c r="B43" s="89">
        <f>SUM(B42+B17)</f>
        <v>666171.74</v>
      </c>
      <c r="C43" s="39" t="s">
        <v>32</v>
      </c>
      <c r="D43" s="17"/>
      <c r="E43" s="89">
        <f>SUM(E17,E42)</f>
        <v>666171.74</v>
      </c>
      <c r="F43" s="549"/>
      <c r="G43" s="151">
        <f>670011.84-5463.61</f>
        <v>664548.23</v>
      </c>
    </row>
    <row r="44" ht="16.5" thickTop="1"/>
    <row r="49" spans="1:6" ht="15.75">
      <c r="A49" s="755" t="s">
        <v>155</v>
      </c>
      <c r="B49" s="755"/>
      <c r="C49" s="96"/>
      <c r="D49" s="96"/>
      <c r="E49" s="545" t="s">
        <v>157</v>
      </c>
      <c r="F49" s="304"/>
    </row>
    <row r="50" spans="1:6" ht="15.75">
      <c r="A50" s="86" t="s">
        <v>16</v>
      </c>
      <c r="B50" s="86" t="s">
        <v>156</v>
      </c>
      <c r="C50" s="86" t="s">
        <v>0</v>
      </c>
      <c r="D50" s="86" t="s">
        <v>139</v>
      </c>
      <c r="E50" s="86" t="s">
        <v>156</v>
      </c>
      <c r="F50" s="304"/>
    </row>
    <row r="51" spans="1:6" ht="15.75">
      <c r="A51" s="97" t="s">
        <v>49</v>
      </c>
      <c r="B51" s="97" t="s">
        <v>49</v>
      </c>
      <c r="C51" s="98"/>
      <c r="D51" s="98"/>
      <c r="E51" s="97" t="s">
        <v>49</v>
      </c>
      <c r="F51" s="304"/>
    </row>
    <row r="52" spans="1:6" ht="15.75">
      <c r="A52" s="18"/>
      <c r="B52" s="18"/>
      <c r="C52" s="87" t="s">
        <v>30</v>
      </c>
      <c r="D52" s="99"/>
      <c r="E52" s="15"/>
      <c r="F52" s="90"/>
    </row>
    <row r="53" spans="1:6" ht="17.25">
      <c r="A53" s="18">
        <v>1423230</v>
      </c>
      <c r="B53" s="104">
        <f>+E53</f>
        <v>7500</v>
      </c>
      <c r="C53" s="99" t="s">
        <v>11</v>
      </c>
      <c r="D53" s="71">
        <v>510000</v>
      </c>
      <c r="E53" s="94">
        <v>7500</v>
      </c>
      <c r="F53" s="550"/>
    </row>
    <row r="54" spans="1:6" ht="17.25">
      <c r="A54" s="18">
        <v>2624640</v>
      </c>
      <c r="B54" s="104">
        <f aca="true" t="shared" si="2" ref="B54:B65">+E54</f>
        <v>209060</v>
      </c>
      <c r="C54" s="99" t="s">
        <v>162</v>
      </c>
      <c r="D54" s="71">
        <v>521000</v>
      </c>
      <c r="E54" s="85">
        <v>209060</v>
      </c>
      <c r="F54" s="167"/>
    </row>
    <row r="55" spans="1:6" ht="17.25">
      <c r="A55" s="18">
        <f>2150000+300000+76000+750000+100000+21000+350000+50000+21000</f>
        <v>3818000</v>
      </c>
      <c r="B55" s="104">
        <f t="shared" si="2"/>
        <v>253107.58</v>
      </c>
      <c r="C55" s="99" t="s">
        <v>163</v>
      </c>
      <c r="D55" s="71">
        <v>522000</v>
      </c>
      <c r="E55" s="85">
        <v>253107.58</v>
      </c>
      <c r="F55" s="167"/>
    </row>
    <row r="56" spans="1:6" ht="17.25">
      <c r="A56" s="18">
        <f>300000+55000</f>
        <v>355000</v>
      </c>
      <c r="B56" s="104">
        <f t="shared" si="2"/>
        <v>27285</v>
      </c>
      <c r="C56" s="99" t="s">
        <v>3</v>
      </c>
      <c r="D56" s="71">
        <v>220400</v>
      </c>
      <c r="E56" s="85">
        <v>27285</v>
      </c>
      <c r="F56" s="167"/>
    </row>
    <row r="57" spans="1:6" ht="17.25">
      <c r="A57" s="18">
        <f>980000+580000+115000+70000+20000+10000+230000+120000</f>
        <v>2125000</v>
      </c>
      <c r="B57" s="104">
        <f t="shared" si="2"/>
        <v>177900</v>
      </c>
      <c r="C57" s="99" t="s">
        <v>4</v>
      </c>
      <c r="D57" s="71">
        <v>220600</v>
      </c>
      <c r="E57" s="85">
        <v>177900</v>
      </c>
      <c r="F57" s="167"/>
    </row>
    <row r="58" spans="1:6" ht="17.25">
      <c r="A58" s="18">
        <f>514000+160000+50000+10500+100000</f>
        <v>834500</v>
      </c>
      <c r="B58" s="104">
        <f t="shared" si="2"/>
        <v>42983</v>
      </c>
      <c r="C58" s="99" t="s">
        <v>5</v>
      </c>
      <c r="D58" s="71">
        <v>531000</v>
      </c>
      <c r="E58" s="85">
        <v>42983</v>
      </c>
      <c r="F58" s="167"/>
    </row>
    <row r="59" spans="1:6" ht="17.25">
      <c r="A59" s="18">
        <f>1215000+160000+170000+160000+1200630+100000+80000+50000+700000+395000+550000+420000+100000+30000+150000</f>
        <v>5480630</v>
      </c>
      <c r="B59" s="104">
        <f t="shared" si="2"/>
        <v>52522.25</v>
      </c>
      <c r="C59" s="99" t="s">
        <v>6</v>
      </c>
      <c r="D59" s="71">
        <v>532000</v>
      </c>
      <c r="E59" s="85">
        <v>52522.25</v>
      </c>
      <c r="F59" s="167"/>
    </row>
    <row r="60" spans="1:6" ht="17.25">
      <c r="A60" s="18">
        <f>780000+100000+32500+2054500+100000+100000+180000+680000+50000+50000</f>
        <v>4127000</v>
      </c>
      <c r="B60" s="104">
        <f t="shared" si="2"/>
        <v>7830</v>
      </c>
      <c r="C60" s="99" t="s">
        <v>7</v>
      </c>
      <c r="D60" s="71">
        <v>533000</v>
      </c>
      <c r="E60" s="85">
        <v>7830</v>
      </c>
      <c r="F60" s="167"/>
    </row>
    <row r="61" spans="1:6" ht="17.25">
      <c r="A61" s="18">
        <f>460000+470000</f>
        <v>930000</v>
      </c>
      <c r="B61" s="104">
        <f t="shared" si="2"/>
        <v>85726.58</v>
      </c>
      <c r="C61" s="99" t="s">
        <v>8</v>
      </c>
      <c r="D61" s="71">
        <v>534000</v>
      </c>
      <c r="E61" s="85">
        <v>85726.58</v>
      </c>
      <c r="F61" s="167"/>
    </row>
    <row r="62" spans="1:6" ht="17.25">
      <c r="A62" s="18">
        <f>150000+148000+92000+100000</f>
        <v>490000</v>
      </c>
      <c r="B62" s="104">
        <f t="shared" si="2"/>
        <v>0</v>
      </c>
      <c r="C62" s="99" t="s">
        <v>9</v>
      </c>
      <c r="D62" s="71">
        <v>541000</v>
      </c>
      <c r="E62" s="85">
        <v>0</v>
      </c>
      <c r="F62" s="167"/>
    </row>
    <row r="63" spans="1:6" ht="17.25">
      <c r="A63" s="18">
        <f>743200+97100+3552900</f>
        <v>4393200</v>
      </c>
      <c r="B63" s="104">
        <f t="shared" si="2"/>
        <v>0</v>
      </c>
      <c r="C63" s="99" t="s">
        <v>10</v>
      </c>
      <c r="D63" s="71">
        <v>542000</v>
      </c>
      <c r="E63" s="85">
        <v>0</v>
      </c>
      <c r="F63" s="167"/>
    </row>
    <row r="64" spans="1:6" ht="17.25">
      <c r="A64" s="18">
        <f>20000+3684000+240000+30000+40000+69000+10000</f>
        <v>4093000</v>
      </c>
      <c r="B64" s="104">
        <f t="shared" si="2"/>
        <v>0</v>
      </c>
      <c r="C64" s="99" t="s">
        <v>13</v>
      </c>
      <c r="D64" s="544">
        <v>560000</v>
      </c>
      <c r="E64" s="85">
        <v>0</v>
      </c>
      <c r="F64" s="167"/>
    </row>
    <row r="65" spans="1:6" ht="15.75">
      <c r="A65" s="18">
        <v>25000</v>
      </c>
      <c r="B65" s="104">
        <f t="shared" si="2"/>
        <v>0</v>
      </c>
      <c r="C65" s="99" t="s">
        <v>12</v>
      </c>
      <c r="D65" s="71">
        <v>550000</v>
      </c>
      <c r="E65" s="18">
        <v>0</v>
      </c>
      <c r="F65" s="90"/>
    </row>
    <row r="66" spans="1:6" ht="16.5" thickBot="1">
      <c r="A66" s="89">
        <f>SUM(A53:A65)</f>
        <v>30719200</v>
      </c>
      <c r="B66" s="89">
        <f>SUM(B53:B65)</f>
        <v>863914.4099999999</v>
      </c>
      <c r="C66" s="39"/>
      <c r="D66" s="99"/>
      <c r="E66" s="89">
        <f>SUM(E53:E65)</f>
        <v>863914.4099999999</v>
      </c>
      <c r="F66" s="549"/>
    </row>
    <row r="67" spans="1:6" ht="16.5" thickTop="1">
      <c r="A67" s="100"/>
      <c r="B67" s="104">
        <f>+E67</f>
        <v>0</v>
      </c>
      <c r="C67" s="99" t="s">
        <v>602</v>
      </c>
      <c r="D67" s="71">
        <v>441000</v>
      </c>
      <c r="E67" s="18">
        <v>0</v>
      </c>
      <c r="F67" s="90"/>
    </row>
    <row r="68" spans="1:6" ht="15.75" hidden="1">
      <c r="A68" s="93"/>
      <c r="B68" s="104">
        <f aca="true" t="shared" si="3" ref="B68:B81">+E68</f>
        <v>0</v>
      </c>
      <c r="C68" s="99" t="s">
        <v>25</v>
      </c>
      <c r="D68" s="71">
        <v>412210</v>
      </c>
      <c r="E68" s="18"/>
      <c r="F68" s="90"/>
    </row>
    <row r="69" spans="1:6" ht="15.75">
      <c r="A69" s="93"/>
      <c r="B69" s="104">
        <f t="shared" si="3"/>
        <v>0</v>
      </c>
      <c r="C69" s="99" t="s">
        <v>146</v>
      </c>
      <c r="D69" s="544">
        <v>110202</v>
      </c>
      <c r="E69" s="18">
        <v>0</v>
      </c>
      <c r="F69" s="90"/>
    </row>
    <row r="70" spans="1:6" ht="15.75">
      <c r="A70" s="93"/>
      <c r="B70" s="104">
        <f t="shared" si="3"/>
        <v>141350</v>
      </c>
      <c r="C70" s="99" t="s">
        <v>130</v>
      </c>
      <c r="D70" s="71">
        <v>110605</v>
      </c>
      <c r="E70" s="18">
        <v>141350</v>
      </c>
      <c r="F70" s="90"/>
    </row>
    <row r="71" spans="1:6" ht="15.75">
      <c r="A71" s="93"/>
      <c r="B71" s="104">
        <f t="shared" si="3"/>
        <v>0</v>
      </c>
      <c r="C71" s="99" t="s">
        <v>440</v>
      </c>
      <c r="D71" s="71">
        <v>110609</v>
      </c>
      <c r="E71" s="18">
        <v>0</v>
      </c>
      <c r="F71" s="90"/>
    </row>
    <row r="72" spans="1:6" ht="15.75">
      <c r="A72" s="93"/>
      <c r="B72" s="104">
        <f t="shared" si="3"/>
        <v>979900</v>
      </c>
      <c r="C72" s="99" t="s">
        <v>152</v>
      </c>
      <c r="D72" s="544">
        <v>110606</v>
      </c>
      <c r="E72" s="18">
        <v>979900</v>
      </c>
      <c r="F72" s="90"/>
    </row>
    <row r="73" spans="1:6" ht="15.75">
      <c r="A73" s="93"/>
      <c r="B73" s="104">
        <f t="shared" si="3"/>
        <v>17618.61</v>
      </c>
      <c r="C73" s="99" t="s">
        <v>26</v>
      </c>
      <c r="D73" s="544">
        <v>230102</v>
      </c>
      <c r="E73" s="18">
        <v>17618.61</v>
      </c>
      <c r="F73" s="90"/>
    </row>
    <row r="74" spans="1:6" ht="15.75">
      <c r="A74" s="93"/>
      <c r="B74" s="104">
        <f t="shared" si="3"/>
        <v>8490</v>
      </c>
      <c r="C74" s="99" t="s">
        <v>364</v>
      </c>
      <c r="D74" s="544">
        <v>230108</v>
      </c>
      <c r="E74" s="18">
        <v>8490</v>
      </c>
      <c r="F74" s="90"/>
    </row>
    <row r="75" spans="1:6" ht="15.75">
      <c r="A75" s="93"/>
      <c r="B75" s="104">
        <f t="shared" si="3"/>
        <v>1707.67</v>
      </c>
      <c r="C75" s="99" t="s">
        <v>88</v>
      </c>
      <c r="D75" s="443">
        <v>230199</v>
      </c>
      <c r="E75" s="18">
        <v>1707.67</v>
      </c>
      <c r="F75" s="90"/>
    </row>
    <row r="76" spans="1:6" ht="15.75">
      <c r="A76" s="93"/>
      <c r="B76" s="104">
        <f t="shared" si="3"/>
        <v>0</v>
      </c>
      <c r="C76" s="99" t="s">
        <v>420</v>
      </c>
      <c r="D76" s="443">
        <v>230199</v>
      </c>
      <c r="E76" s="18">
        <v>0</v>
      </c>
      <c r="F76" s="90"/>
    </row>
    <row r="77" spans="1:6" ht="15.75">
      <c r="A77" s="93"/>
      <c r="B77" s="104">
        <f t="shared" si="3"/>
        <v>0</v>
      </c>
      <c r="C77" s="99" t="s">
        <v>59</v>
      </c>
      <c r="D77" s="443">
        <v>210500</v>
      </c>
      <c r="E77" s="18">
        <v>0</v>
      </c>
      <c r="F77" s="90"/>
    </row>
    <row r="78" spans="1:6" ht="15.75">
      <c r="A78" s="93"/>
      <c r="B78" s="104">
        <f t="shared" si="3"/>
        <v>157910</v>
      </c>
      <c r="C78" s="99" t="s">
        <v>14</v>
      </c>
      <c r="D78" s="443">
        <v>210402</v>
      </c>
      <c r="E78" s="18">
        <v>157910</v>
      </c>
      <c r="F78" s="90"/>
    </row>
    <row r="79" spans="1:6" ht="15.75" hidden="1">
      <c r="A79" s="93"/>
      <c r="B79" s="104">
        <f t="shared" si="3"/>
        <v>0</v>
      </c>
      <c r="C79" s="99" t="s">
        <v>15</v>
      </c>
      <c r="D79" s="544">
        <v>300000</v>
      </c>
      <c r="E79" s="18">
        <v>0</v>
      </c>
      <c r="F79" s="90"/>
    </row>
    <row r="80" spans="1:6" ht="15.75" hidden="1">
      <c r="A80" s="93"/>
      <c r="B80" s="104">
        <f t="shared" si="3"/>
        <v>0</v>
      </c>
      <c r="C80" s="21" t="s">
        <v>532</v>
      </c>
      <c r="D80" s="544">
        <v>441000</v>
      </c>
      <c r="E80" s="18"/>
      <c r="F80" s="90"/>
    </row>
    <row r="81" spans="1:6" ht="15.75" hidden="1">
      <c r="A81" s="93"/>
      <c r="B81" s="104">
        <f t="shared" si="3"/>
        <v>0</v>
      </c>
      <c r="C81" s="21" t="s">
        <v>533</v>
      </c>
      <c r="D81" s="544">
        <v>441000</v>
      </c>
      <c r="E81" s="18"/>
      <c r="F81" s="90"/>
    </row>
    <row r="82" spans="1:6" ht="15.75">
      <c r="A82" s="93"/>
      <c r="B82" s="104"/>
      <c r="C82" s="21"/>
      <c r="D82" s="73"/>
      <c r="E82" s="18"/>
      <c r="F82" s="90"/>
    </row>
    <row r="83" spans="1:6" ht="15.75">
      <c r="A83" s="93"/>
      <c r="B83" s="10">
        <f>SUM(B67:B82)</f>
        <v>1306976.28</v>
      </c>
      <c r="C83" s="21"/>
      <c r="D83" s="17"/>
      <c r="E83" s="10">
        <f>SUM(E67:E82)</f>
        <v>1306976.28</v>
      </c>
      <c r="F83" s="549"/>
    </row>
    <row r="84" spans="1:6" ht="16.5" thickBot="1">
      <c r="A84" s="90"/>
      <c r="B84" s="89">
        <f>SUM(B83,B66)</f>
        <v>2170890.69</v>
      </c>
      <c r="C84" s="304" t="s">
        <v>31</v>
      </c>
      <c r="D84" s="17"/>
      <c r="E84" s="89">
        <f>SUM(E83,E66)</f>
        <v>2170890.69</v>
      </c>
      <c r="F84" s="549"/>
    </row>
    <row r="85" spans="2:6" ht="16.5" thickTop="1">
      <c r="B85" s="99"/>
      <c r="C85" s="543" t="s">
        <v>164</v>
      </c>
      <c r="D85" s="17"/>
      <c r="E85" s="99"/>
      <c r="F85" s="21"/>
    </row>
    <row r="86" spans="2:6" ht="15.75">
      <c r="B86" s="101"/>
      <c r="C86" s="543" t="s">
        <v>167</v>
      </c>
      <c r="D86" s="17"/>
      <c r="E86" s="101"/>
      <c r="F86" s="551"/>
    </row>
    <row r="87" spans="2:6" ht="15.75">
      <c r="B87" s="101">
        <f>SUM(B43-B84)</f>
        <v>-1504718.95</v>
      </c>
      <c r="C87" s="543" t="s">
        <v>165</v>
      </c>
      <c r="E87" s="101">
        <f>SUM(E43-E84)</f>
        <v>-1504718.95</v>
      </c>
      <c r="F87" s="551"/>
    </row>
    <row r="88" spans="2:7" ht="16.5" thickBot="1">
      <c r="B88" s="102">
        <f>SUM(B7+B43-B84)</f>
        <v>25366894.239999987</v>
      </c>
      <c r="C88" s="543" t="s">
        <v>166</v>
      </c>
      <c r="E88" s="102">
        <f>SUM(E7+E43-E84)</f>
        <v>25366894.239999987</v>
      </c>
      <c r="F88" s="103"/>
      <c r="G88" s="151">
        <f>+งบดุลบัญชี!K5</f>
        <v>25366894.1</v>
      </c>
    </row>
    <row r="89" spans="2:7" ht="16.5" thickTop="1">
      <c r="B89" s="103"/>
      <c r="C89" s="543"/>
      <c r="E89" s="103"/>
      <c r="F89" s="103"/>
      <c r="G89" s="151">
        <f>+G88-E88</f>
        <v>-0.13999998569488525</v>
      </c>
    </row>
    <row r="91" spans="1:6" ht="15.75">
      <c r="A91" s="729" t="s">
        <v>33</v>
      </c>
      <c r="B91" s="729"/>
      <c r="C91" s="542" t="str">
        <f>+A91</f>
        <v>(นายวสันต์  ไทรแก้ว)</v>
      </c>
      <c r="D91" s="729" t="s">
        <v>411</v>
      </c>
      <c r="E91" s="729"/>
      <c r="F91" s="542"/>
    </row>
    <row r="92" spans="1:6" ht="15.75">
      <c r="A92" s="729" t="s">
        <v>389</v>
      </c>
      <c r="B92" s="729"/>
      <c r="C92" s="542" t="s">
        <v>289</v>
      </c>
      <c r="D92" s="729" t="s">
        <v>38</v>
      </c>
      <c r="E92" s="729"/>
      <c r="F92" s="542"/>
    </row>
    <row r="93" spans="1:6" ht="15.75">
      <c r="A93" s="729" t="s">
        <v>36</v>
      </c>
      <c r="B93" s="729"/>
      <c r="D93" s="729"/>
      <c r="E93" s="729"/>
      <c r="F93" s="542"/>
    </row>
    <row r="94" spans="1:6" ht="15.75">
      <c r="A94" s="35" t="s">
        <v>29</v>
      </c>
      <c r="D94" s="95" t="s">
        <v>158</v>
      </c>
      <c r="E94" s="114" t="s">
        <v>615</v>
      </c>
      <c r="F94" s="114"/>
    </row>
    <row r="95" spans="1:6" ht="15.75">
      <c r="A95" s="741" t="s">
        <v>154</v>
      </c>
      <c r="B95" s="741"/>
      <c r="C95" s="741"/>
      <c r="D95" s="741"/>
      <c r="E95" s="741"/>
      <c r="F95" s="543"/>
    </row>
    <row r="96" spans="5:6" ht="15.75">
      <c r="E96" s="543" t="s">
        <v>603</v>
      </c>
      <c r="F96" s="543"/>
    </row>
    <row r="97" spans="1:6" ht="15.75">
      <c r="A97" s="755" t="s">
        <v>155</v>
      </c>
      <c r="B97" s="755"/>
      <c r="C97" s="96"/>
      <c r="D97" s="96"/>
      <c r="E97" s="545" t="s">
        <v>157</v>
      </c>
      <c r="F97" s="304"/>
    </row>
    <row r="98" spans="1:6" ht="15.75">
      <c r="A98" s="86" t="s">
        <v>16</v>
      </c>
      <c r="B98" s="86" t="s">
        <v>156</v>
      </c>
      <c r="C98" s="86" t="s">
        <v>0</v>
      </c>
      <c r="D98" s="86" t="s">
        <v>139</v>
      </c>
      <c r="E98" s="86" t="s">
        <v>156</v>
      </c>
      <c r="F98" s="304"/>
    </row>
    <row r="99" spans="1:6" ht="15.75">
      <c r="A99" s="97" t="s">
        <v>49</v>
      </c>
      <c r="B99" s="97" t="s">
        <v>49</v>
      </c>
      <c r="C99" s="98"/>
      <c r="D99" s="98"/>
      <c r="E99" s="97" t="s">
        <v>49</v>
      </c>
      <c r="F99" s="304"/>
    </row>
    <row r="100" spans="1:6" ht="15.75">
      <c r="A100" s="18"/>
      <c r="B100" s="19">
        <v>26871613.18999999</v>
      </c>
      <c r="C100" s="87" t="s">
        <v>159</v>
      </c>
      <c r="D100" s="99"/>
      <c r="E100" s="19">
        <f>+E88</f>
        <v>25366894.239999987</v>
      </c>
      <c r="F100" s="549"/>
    </row>
    <row r="101" spans="1:6" ht="15.75">
      <c r="A101" s="18"/>
      <c r="B101" s="18"/>
      <c r="C101" s="87" t="s">
        <v>160</v>
      </c>
      <c r="D101" s="99"/>
      <c r="E101" s="18"/>
      <c r="F101" s="90"/>
    </row>
    <row r="102" spans="1:6" ht="15.75">
      <c r="A102" s="104">
        <v>191000</v>
      </c>
      <c r="B102" s="104">
        <f>+E102+B9</f>
        <v>34.5</v>
      </c>
      <c r="C102" s="99" t="s">
        <v>19</v>
      </c>
      <c r="D102" s="544">
        <v>411000</v>
      </c>
      <c r="E102" s="18">
        <v>0</v>
      </c>
      <c r="F102" s="90"/>
    </row>
    <row r="103" spans="1:6" ht="15.75">
      <c r="A103" s="104">
        <v>186700</v>
      </c>
      <c r="B103" s="104">
        <f aca="true" t="shared" si="4" ref="B103:B109">+E103+B10</f>
        <v>22270</v>
      </c>
      <c r="C103" s="99" t="s">
        <v>357</v>
      </c>
      <c r="D103" s="544">
        <v>412000</v>
      </c>
      <c r="E103" s="18">
        <v>10490</v>
      </c>
      <c r="F103" s="90"/>
    </row>
    <row r="104" spans="1:6" ht="15.75">
      <c r="A104" s="104">
        <v>291000</v>
      </c>
      <c r="B104" s="104">
        <f t="shared" si="4"/>
        <v>0</v>
      </c>
      <c r="C104" s="99" t="s">
        <v>21</v>
      </c>
      <c r="D104" s="544">
        <v>413000</v>
      </c>
      <c r="E104" s="18">
        <v>0</v>
      </c>
      <c r="F104" s="90"/>
    </row>
    <row r="105" spans="1:6" ht="15.75">
      <c r="A105" s="104">
        <v>180000</v>
      </c>
      <c r="B105" s="104">
        <f t="shared" si="4"/>
        <v>46965</v>
      </c>
      <c r="C105" s="99" t="s">
        <v>23</v>
      </c>
      <c r="D105" s="544">
        <v>414000</v>
      </c>
      <c r="E105" s="18">
        <v>34960</v>
      </c>
      <c r="F105" s="90"/>
    </row>
    <row r="106" spans="1:6" ht="15.75">
      <c r="A106" s="104">
        <v>120000</v>
      </c>
      <c r="B106" s="104">
        <f t="shared" si="4"/>
        <v>13210</v>
      </c>
      <c r="C106" s="99" t="s">
        <v>20</v>
      </c>
      <c r="D106" s="544">
        <v>415000</v>
      </c>
      <c r="E106" s="18">
        <v>10700</v>
      </c>
      <c r="F106" s="90"/>
    </row>
    <row r="107" spans="1:6" ht="15.75">
      <c r="A107" s="104">
        <v>500</v>
      </c>
      <c r="B107" s="104">
        <f t="shared" si="4"/>
        <v>0</v>
      </c>
      <c r="C107" s="99" t="s">
        <v>125</v>
      </c>
      <c r="D107" s="544">
        <v>416000</v>
      </c>
      <c r="E107" s="18">
        <v>0</v>
      </c>
      <c r="F107" s="90"/>
    </row>
    <row r="108" spans="1:6" ht="15.75">
      <c r="A108" s="104">
        <v>12750000</v>
      </c>
      <c r="B108" s="104">
        <f t="shared" si="4"/>
        <v>1406170.2999999998</v>
      </c>
      <c r="C108" s="99" t="s">
        <v>50</v>
      </c>
      <c r="D108" s="544">
        <v>421000</v>
      </c>
      <c r="E108" s="18">
        <v>777193.98</v>
      </c>
      <c r="F108" s="90"/>
    </row>
    <row r="109" spans="1:6" ht="15.75">
      <c r="A109" s="104">
        <v>17000000</v>
      </c>
      <c r="B109" s="104">
        <f t="shared" si="4"/>
        <v>0</v>
      </c>
      <c r="C109" s="99" t="s">
        <v>22</v>
      </c>
      <c r="D109" s="544">
        <v>431002</v>
      </c>
      <c r="E109" s="18">
        <v>0</v>
      </c>
      <c r="F109" s="90"/>
    </row>
    <row r="110" spans="1:6" ht="16.5" thickBot="1">
      <c r="A110" s="89">
        <f>SUM(A102:A109)</f>
        <v>30719200</v>
      </c>
      <c r="B110" s="89">
        <f>SUM(B102:B109)</f>
        <v>1488649.7999999998</v>
      </c>
      <c r="C110" s="99"/>
      <c r="D110" s="544"/>
      <c r="E110" s="89">
        <f>SUM(E102:E109)</f>
        <v>833343.98</v>
      </c>
      <c r="F110" s="549"/>
    </row>
    <row r="111" spans="1:6" ht="16.5" thickTop="1">
      <c r="A111" s="100"/>
      <c r="B111" s="104">
        <f>+E111+B18</f>
        <v>0</v>
      </c>
      <c r="C111" s="99" t="s">
        <v>71</v>
      </c>
      <c r="D111" s="544">
        <v>441000</v>
      </c>
      <c r="E111" s="18">
        <v>0</v>
      </c>
      <c r="F111" s="90"/>
    </row>
    <row r="112" spans="1:6" ht="15.75">
      <c r="A112" s="93"/>
      <c r="B112" s="104">
        <f aca="true" t="shared" si="5" ref="B112:B129">+E112+B19</f>
        <v>4781400</v>
      </c>
      <c r="C112" s="99" t="s">
        <v>124</v>
      </c>
      <c r="D112" s="544">
        <v>441000</v>
      </c>
      <c r="E112" s="18">
        <v>4781400</v>
      </c>
      <c r="F112" s="90"/>
    </row>
    <row r="113" spans="1:6" ht="15.75">
      <c r="A113" s="93"/>
      <c r="B113" s="104">
        <f t="shared" si="5"/>
        <v>3691.1499999999996</v>
      </c>
      <c r="C113" s="99" t="s">
        <v>26</v>
      </c>
      <c r="D113" s="544">
        <v>230102</v>
      </c>
      <c r="E113" s="18">
        <v>2067.64</v>
      </c>
      <c r="F113" s="90"/>
    </row>
    <row r="114" spans="1:6" ht="15.75">
      <c r="A114" s="17"/>
      <c r="B114" s="104">
        <f t="shared" si="5"/>
        <v>7.76</v>
      </c>
      <c r="C114" s="99" t="s">
        <v>161</v>
      </c>
      <c r="D114" s="544">
        <v>230105</v>
      </c>
      <c r="E114" s="18">
        <v>0</v>
      </c>
      <c r="F114" s="90"/>
    </row>
    <row r="115" spans="1:6" ht="15.75">
      <c r="A115" s="21"/>
      <c r="B115" s="104">
        <f t="shared" si="5"/>
        <v>6002</v>
      </c>
      <c r="C115" s="99" t="s">
        <v>27</v>
      </c>
      <c r="D115" s="544">
        <v>230108</v>
      </c>
      <c r="E115" s="18">
        <v>0</v>
      </c>
      <c r="F115" s="90"/>
    </row>
    <row r="116" spans="1:6" ht="15.75">
      <c r="A116" s="21"/>
      <c r="B116" s="104">
        <f t="shared" si="5"/>
        <v>0</v>
      </c>
      <c r="C116" s="99" t="s">
        <v>353</v>
      </c>
      <c r="D116" s="544">
        <v>230199</v>
      </c>
      <c r="E116" s="18">
        <v>0</v>
      </c>
      <c r="F116" s="90"/>
    </row>
    <row r="117" spans="1:6" ht="15.75">
      <c r="A117" s="21"/>
      <c r="B117" s="104">
        <f t="shared" si="5"/>
        <v>3148.61</v>
      </c>
      <c r="C117" s="16" t="s">
        <v>88</v>
      </c>
      <c r="D117" s="544">
        <v>230199</v>
      </c>
      <c r="E117" s="18">
        <v>3148.61</v>
      </c>
      <c r="F117" s="90"/>
    </row>
    <row r="118" spans="1:6" ht="15.75">
      <c r="A118" s="21"/>
      <c r="B118" s="104">
        <f t="shared" si="5"/>
        <v>112.65</v>
      </c>
      <c r="C118" s="99" t="s">
        <v>57</v>
      </c>
      <c r="D118" s="544">
        <v>110602</v>
      </c>
      <c r="E118" s="18">
        <v>0</v>
      </c>
      <c r="F118" s="90"/>
    </row>
    <row r="119" spans="2:6" ht="15.75">
      <c r="B119" s="104">
        <f t="shared" si="5"/>
        <v>1815</v>
      </c>
      <c r="C119" s="99" t="s">
        <v>60</v>
      </c>
      <c r="D119" s="544">
        <v>110604</v>
      </c>
      <c r="E119" s="18">
        <v>95</v>
      </c>
      <c r="F119" s="90"/>
    </row>
    <row r="120" spans="2:6" ht="15.75">
      <c r="B120" s="104">
        <f t="shared" si="5"/>
        <v>0</v>
      </c>
      <c r="C120" s="99" t="s">
        <v>130</v>
      </c>
      <c r="D120" s="544">
        <v>110605</v>
      </c>
      <c r="E120" s="18">
        <v>0</v>
      </c>
      <c r="F120" s="90"/>
    </row>
    <row r="121" spans="2:6" ht="15.75">
      <c r="B121" s="104">
        <f t="shared" si="5"/>
        <v>0</v>
      </c>
      <c r="C121" s="99" t="s">
        <v>152</v>
      </c>
      <c r="D121" s="544">
        <v>110606</v>
      </c>
      <c r="E121" s="18">
        <v>0</v>
      </c>
      <c r="F121" s="90"/>
    </row>
    <row r="122" spans="2:6" ht="15.75">
      <c r="B122" s="104">
        <f t="shared" si="5"/>
        <v>0</v>
      </c>
      <c r="C122" s="16" t="s">
        <v>360</v>
      </c>
      <c r="D122" s="544">
        <v>300000</v>
      </c>
      <c r="E122" s="18">
        <v>0</v>
      </c>
      <c r="F122" s="90"/>
    </row>
    <row r="123" spans="2:6" ht="15.75">
      <c r="B123" s="104">
        <f t="shared" si="5"/>
        <v>0</v>
      </c>
      <c r="C123" s="16" t="s">
        <v>361</v>
      </c>
      <c r="D123" s="544">
        <v>441000</v>
      </c>
      <c r="E123" s="18">
        <v>0</v>
      </c>
      <c r="F123" s="90"/>
    </row>
    <row r="124" spans="2:6" ht="15.75">
      <c r="B124" s="104">
        <f t="shared" si="5"/>
        <v>0</v>
      </c>
      <c r="C124" s="16" t="s">
        <v>367</v>
      </c>
      <c r="D124" s="544">
        <v>441000</v>
      </c>
      <c r="E124" s="18">
        <v>0</v>
      </c>
      <c r="F124" s="90"/>
    </row>
    <row r="125" spans="2:6" ht="15.75">
      <c r="B125" s="104">
        <f t="shared" si="5"/>
        <v>0</v>
      </c>
      <c r="C125" s="16" t="s">
        <v>426</v>
      </c>
      <c r="D125" s="544">
        <v>441000</v>
      </c>
      <c r="E125" s="18">
        <v>0</v>
      </c>
      <c r="F125" s="90"/>
    </row>
    <row r="126" spans="2:6" ht="15.75">
      <c r="B126" s="104">
        <f t="shared" si="5"/>
        <v>1400</v>
      </c>
      <c r="C126" s="16" t="s">
        <v>606</v>
      </c>
      <c r="D126" s="544">
        <v>300000</v>
      </c>
      <c r="E126" s="18">
        <v>0</v>
      </c>
      <c r="F126" s="90"/>
    </row>
    <row r="127" spans="2:6" ht="15.75">
      <c r="B127" s="104">
        <f t="shared" si="5"/>
        <v>0</v>
      </c>
      <c r="C127" s="16" t="s">
        <v>430</v>
      </c>
      <c r="D127" s="544">
        <v>532000</v>
      </c>
      <c r="E127" s="18">
        <v>0</v>
      </c>
      <c r="F127" s="90"/>
    </row>
    <row r="128" spans="2:6" ht="15.75">
      <c r="B128" s="104">
        <f t="shared" si="5"/>
        <v>0</v>
      </c>
      <c r="C128" s="16" t="s">
        <v>313</v>
      </c>
      <c r="D128" s="544">
        <v>230200</v>
      </c>
      <c r="E128" s="18">
        <v>0</v>
      </c>
      <c r="F128" s="90"/>
    </row>
    <row r="129" spans="2:6" ht="15.75">
      <c r="B129" s="104">
        <f t="shared" si="5"/>
        <v>310</v>
      </c>
      <c r="C129" s="16" t="s">
        <v>424</v>
      </c>
      <c r="D129" s="544">
        <v>522000</v>
      </c>
      <c r="E129" s="18">
        <v>310</v>
      </c>
      <c r="F129" s="90"/>
    </row>
    <row r="130" spans="2:6" ht="15.75">
      <c r="B130" s="104"/>
      <c r="C130" s="16"/>
      <c r="D130" s="544"/>
      <c r="E130" s="18"/>
      <c r="F130" s="90"/>
    </row>
    <row r="131" spans="2:6" ht="15.75">
      <c r="B131" s="104"/>
      <c r="C131" s="16"/>
      <c r="D131" s="544"/>
      <c r="E131" s="18"/>
      <c r="F131" s="90"/>
    </row>
    <row r="132" spans="2:6" ht="15.75">
      <c r="B132" s="104"/>
      <c r="C132" s="16"/>
      <c r="D132" s="544"/>
      <c r="E132" s="18"/>
      <c r="F132" s="90"/>
    </row>
    <row r="133" spans="2:6" ht="15.75">
      <c r="B133" s="104"/>
      <c r="C133" s="16"/>
      <c r="D133" s="544"/>
      <c r="E133" s="18"/>
      <c r="F133" s="90"/>
    </row>
    <row r="134" spans="2:6" ht="15.75">
      <c r="B134" s="18"/>
      <c r="C134" s="16"/>
      <c r="D134" s="98"/>
      <c r="E134" s="18"/>
      <c r="F134" s="90"/>
    </row>
    <row r="135" spans="2:6" ht="15.75">
      <c r="B135" s="10">
        <f>SUM(B111:B134)</f>
        <v>4797887.170000001</v>
      </c>
      <c r="C135" s="16"/>
      <c r="D135" s="17"/>
      <c r="E135" s="10">
        <f>SUM(E111:E134)</f>
        <v>4787021.25</v>
      </c>
      <c r="F135" s="549"/>
    </row>
    <row r="136" spans="2:6" ht="16.5" thickBot="1">
      <c r="B136" s="89">
        <f>SUM(B135+B110)</f>
        <v>6286536.970000001</v>
      </c>
      <c r="C136" s="39" t="s">
        <v>32</v>
      </c>
      <c r="D136" s="17"/>
      <c r="E136" s="89">
        <f>SUM(E110,E135)</f>
        <v>5620365.23</v>
      </c>
      <c r="F136" s="549"/>
    </row>
    <row r="137" ht="16.5" thickTop="1"/>
    <row r="142" spans="1:6" ht="15.75">
      <c r="A142" s="755" t="s">
        <v>155</v>
      </c>
      <c r="B142" s="755"/>
      <c r="C142" s="96"/>
      <c r="D142" s="96"/>
      <c r="E142" s="545" t="s">
        <v>157</v>
      </c>
      <c r="F142" s="304"/>
    </row>
    <row r="143" spans="1:6" ht="15.75">
      <c r="A143" s="86" t="s">
        <v>16</v>
      </c>
      <c r="B143" s="86" t="s">
        <v>156</v>
      </c>
      <c r="C143" s="86" t="s">
        <v>0</v>
      </c>
      <c r="D143" s="86" t="s">
        <v>139</v>
      </c>
      <c r="E143" s="86" t="s">
        <v>156</v>
      </c>
      <c r="F143" s="304"/>
    </row>
    <row r="144" spans="1:6" ht="15.75">
      <c r="A144" s="97" t="s">
        <v>49</v>
      </c>
      <c r="B144" s="97" t="s">
        <v>49</v>
      </c>
      <c r="C144" s="98"/>
      <c r="D144" s="98"/>
      <c r="E144" s="97" t="s">
        <v>49</v>
      </c>
      <c r="F144" s="304"/>
    </row>
    <row r="145" spans="1:6" ht="15.75">
      <c r="A145" s="18"/>
      <c r="B145" s="18"/>
      <c r="C145" s="87" t="s">
        <v>30</v>
      </c>
      <c r="D145" s="99"/>
      <c r="E145" s="15"/>
      <c r="F145" s="90"/>
    </row>
    <row r="146" spans="1:6" ht="17.25">
      <c r="A146" s="18">
        <v>1423230</v>
      </c>
      <c r="B146" s="104">
        <f>+E146+B53</f>
        <v>200997</v>
      </c>
      <c r="C146" s="99" t="s">
        <v>11</v>
      </c>
      <c r="D146" s="71">
        <v>510000</v>
      </c>
      <c r="E146" s="94">
        <v>193497</v>
      </c>
      <c r="F146" s="550"/>
    </row>
    <row r="147" spans="1:6" ht="17.25">
      <c r="A147" s="18">
        <v>2624640</v>
      </c>
      <c r="B147" s="104">
        <f aca="true" t="shared" si="6" ref="B147:B158">+E147+B54</f>
        <v>418120</v>
      </c>
      <c r="C147" s="99" t="s">
        <v>162</v>
      </c>
      <c r="D147" s="71">
        <v>521000</v>
      </c>
      <c r="E147" s="85">
        <v>209060</v>
      </c>
      <c r="F147" s="167"/>
    </row>
    <row r="148" spans="1:6" ht="17.25">
      <c r="A148" s="18">
        <f>2150000+300000+76000+750000+100000+21000+350000+50000+21000</f>
        <v>3818000</v>
      </c>
      <c r="B148" s="104">
        <f t="shared" si="6"/>
        <v>517332.57999999996</v>
      </c>
      <c r="C148" s="99" t="s">
        <v>163</v>
      </c>
      <c r="D148" s="71">
        <v>522000</v>
      </c>
      <c r="E148" s="85">
        <v>264225</v>
      </c>
      <c r="F148" s="167"/>
    </row>
    <row r="149" spans="1:6" ht="17.25">
      <c r="A149" s="18">
        <f>300000+55000</f>
        <v>355000</v>
      </c>
      <c r="B149" s="104">
        <f t="shared" si="6"/>
        <v>54570</v>
      </c>
      <c r="C149" s="99" t="s">
        <v>3</v>
      </c>
      <c r="D149" s="71">
        <v>220400</v>
      </c>
      <c r="E149" s="85">
        <v>27285</v>
      </c>
      <c r="F149" s="167"/>
    </row>
    <row r="150" spans="1:6" ht="17.25">
      <c r="A150" s="18">
        <f>980000+580000+115000+70000+20000+10000+230000+120000</f>
        <v>2125000</v>
      </c>
      <c r="B150" s="104">
        <f t="shared" si="6"/>
        <v>346800</v>
      </c>
      <c r="C150" s="99" t="s">
        <v>4</v>
      </c>
      <c r="D150" s="71">
        <v>220600</v>
      </c>
      <c r="E150" s="85">
        <v>168900</v>
      </c>
      <c r="F150" s="167"/>
    </row>
    <row r="151" spans="1:6" ht="17.25">
      <c r="A151" s="18">
        <f>514000+160000+50000+10500+100000</f>
        <v>834500</v>
      </c>
      <c r="B151" s="104">
        <f t="shared" si="6"/>
        <v>48777</v>
      </c>
      <c r="C151" s="99" t="s">
        <v>5</v>
      </c>
      <c r="D151" s="71">
        <v>531000</v>
      </c>
      <c r="E151" s="85">
        <v>5794</v>
      </c>
      <c r="F151" s="167"/>
    </row>
    <row r="152" spans="1:6" ht="17.25">
      <c r="A152" s="18">
        <f>1215000+160000+170000+160000+1200630+100000+80000+50000+700000+395000+550000+420000+100000+30000+150000</f>
        <v>5480630</v>
      </c>
      <c r="B152" s="104">
        <f t="shared" si="6"/>
        <v>481042.15</v>
      </c>
      <c r="C152" s="99" t="s">
        <v>6</v>
      </c>
      <c r="D152" s="71">
        <v>532000</v>
      </c>
      <c r="E152" s="85">
        <v>428519.9</v>
      </c>
      <c r="F152" s="167"/>
    </row>
    <row r="153" spans="1:6" ht="17.25">
      <c r="A153" s="18">
        <f>780000+100000+32500+2054500+100000+100000+180000+680000+50000+50000</f>
        <v>4127000</v>
      </c>
      <c r="B153" s="104">
        <f t="shared" si="6"/>
        <v>114599</v>
      </c>
      <c r="C153" s="99" t="s">
        <v>7</v>
      </c>
      <c r="D153" s="71">
        <v>533000</v>
      </c>
      <c r="E153" s="85">
        <v>106769</v>
      </c>
      <c r="F153" s="167"/>
    </row>
    <row r="154" spans="1:6" ht="17.25">
      <c r="A154" s="18">
        <f>460000+470000</f>
        <v>930000</v>
      </c>
      <c r="B154" s="104">
        <f t="shared" si="6"/>
        <v>89372.67</v>
      </c>
      <c r="C154" s="99" t="s">
        <v>8</v>
      </c>
      <c r="D154" s="71">
        <v>534000</v>
      </c>
      <c r="E154" s="85">
        <v>3646.09</v>
      </c>
      <c r="F154" s="167"/>
    </row>
    <row r="155" spans="1:6" ht="17.25">
      <c r="A155" s="18">
        <f>150000+148000+92000+100000</f>
        <v>490000</v>
      </c>
      <c r="B155" s="104">
        <f t="shared" si="6"/>
        <v>7900</v>
      </c>
      <c r="C155" s="99" t="s">
        <v>9</v>
      </c>
      <c r="D155" s="71">
        <v>541000</v>
      </c>
      <c r="E155" s="85">
        <v>7900</v>
      </c>
      <c r="F155" s="167"/>
    </row>
    <row r="156" spans="1:6" ht="17.25">
      <c r="A156" s="18">
        <f>743200+97100+3552900</f>
        <v>4393200</v>
      </c>
      <c r="B156" s="104">
        <f t="shared" si="6"/>
        <v>98500</v>
      </c>
      <c r="C156" s="99" t="s">
        <v>10</v>
      </c>
      <c r="D156" s="71">
        <v>542000</v>
      </c>
      <c r="E156" s="85">
        <v>98500</v>
      </c>
      <c r="F156" s="167"/>
    </row>
    <row r="157" spans="1:6" ht="17.25">
      <c r="A157" s="18">
        <f>20000+3684000+240000+30000+40000+69000+10000</f>
        <v>4093000</v>
      </c>
      <c r="B157" s="104">
        <f t="shared" si="6"/>
        <v>921000</v>
      </c>
      <c r="C157" s="99" t="s">
        <v>13</v>
      </c>
      <c r="D157" s="544">
        <v>560000</v>
      </c>
      <c r="E157" s="85">
        <v>921000</v>
      </c>
      <c r="F157" s="167"/>
    </row>
    <row r="158" spans="1:6" ht="15.75">
      <c r="A158" s="18">
        <v>25000</v>
      </c>
      <c r="B158" s="104">
        <f t="shared" si="6"/>
        <v>0</v>
      </c>
      <c r="C158" s="99" t="s">
        <v>12</v>
      </c>
      <c r="D158" s="71">
        <v>550000</v>
      </c>
      <c r="E158" s="18">
        <v>0</v>
      </c>
      <c r="F158" s="90"/>
    </row>
    <row r="159" spans="1:6" ht="16.5" thickBot="1">
      <c r="A159" s="89">
        <f>SUM(A146:A158)</f>
        <v>30719200</v>
      </c>
      <c r="B159" s="89">
        <f>SUM(B146:B158)</f>
        <v>3299010.4</v>
      </c>
      <c r="C159" s="39"/>
      <c r="D159" s="99"/>
      <c r="E159" s="89">
        <f>SUM(E146:E158)</f>
        <v>2435095.99</v>
      </c>
      <c r="F159" s="549"/>
    </row>
    <row r="160" spans="1:6" ht="16.5" thickTop="1">
      <c r="A160" s="100"/>
      <c r="B160" s="104">
        <f>+E160+B67</f>
        <v>0</v>
      </c>
      <c r="C160" s="99" t="s">
        <v>602</v>
      </c>
      <c r="D160" s="71">
        <v>441000</v>
      </c>
      <c r="E160" s="18">
        <v>0</v>
      </c>
      <c r="F160" s="90"/>
    </row>
    <row r="161" spans="1:6" ht="15.75">
      <c r="A161" s="93"/>
      <c r="B161" s="104">
        <f aca="true" t="shared" si="7" ref="B161:B169">+E161+B68</f>
        <v>0</v>
      </c>
      <c r="C161" s="99" t="s">
        <v>25</v>
      </c>
      <c r="D161" s="71">
        <v>412210</v>
      </c>
      <c r="E161" s="18"/>
      <c r="F161" s="90"/>
    </row>
    <row r="162" spans="1:6" ht="15.75">
      <c r="A162" s="93"/>
      <c r="B162" s="104">
        <f t="shared" si="7"/>
        <v>0</v>
      </c>
      <c r="C162" s="99" t="s">
        <v>146</v>
      </c>
      <c r="D162" s="544">
        <v>110202</v>
      </c>
      <c r="E162" s="18">
        <v>0</v>
      </c>
      <c r="F162" s="90"/>
    </row>
    <row r="163" spans="1:6" ht="15.75">
      <c r="A163" s="93"/>
      <c r="B163" s="104">
        <f t="shared" si="7"/>
        <v>178690</v>
      </c>
      <c r="C163" s="99" t="s">
        <v>130</v>
      </c>
      <c r="D163" s="71">
        <v>110605</v>
      </c>
      <c r="E163" s="18">
        <v>37340</v>
      </c>
      <c r="F163" s="90"/>
    </row>
    <row r="164" spans="1:6" ht="15.75">
      <c r="A164" s="93"/>
      <c r="B164" s="104">
        <f t="shared" si="7"/>
        <v>0</v>
      </c>
      <c r="C164" s="99" t="s">
        <v>440</v>
      </c>
      <c r="D164" s="71">
        <v>110609</v>
      </c>
      <c r="E164" s="18">
        <v>0</v>
      </c>
      <c r="F164" s="90"/>
    </row>
    <row r="165" spans="1:6" ht="15.75">
      <c r="A165" s="93"/>
      <c r="B165" s="104">
        <f t="shared" si="7"/>
        <v>1958740</v>
      </c>
      <c r="C165" s="99" t="s">
        <v>152</v>
      </c>
      <c r="D165" s="544">
        <v>110606</v>
      </c>
      <c r="E165" s="18">
        <v>978840</v>
      </c>
      <c r="F165" s="90"/>
    </row>
    <row r="166" spans="1:6" ht="15.75">
      <c r="A166" s="93"/>
      <c r="B166" s="104">
        <f t="shared" si="7"/>
        <v>19242.12</v>
      </c>
      <c r="C166" s="99" t="s">
        <v>26</v>
      </c>
      <c r="D166" s="544">
        <v>230102</v>
      </c>
      <c r="E166" s="18">
        <v>1623.51</v>
      </c>
      <c r="F166" s="90"/>
    </row>
    <row r="167" spans="1:6" ht="15.75">
      <c r="A167" s="93"/>
      <c r="B167" s="104">
        <f t="shared" si="7"/>
        <v>8490</v>
      </c>
      <c r="C167" s="99" t="s">
        <v>364</v>
      </c>
      <c r="D167" s="544">
        <v>230108</v>
      </c>
      <c r="E167" s="18">
        <v>0</v>
      </c>
      <c r="F167" s="90"/>
    </row>
    <row r="168" spans="1:6" ht="15.75">
      <c r="A168" s="93"/>
      <c r="B168" s="104">
        <f t="shared" si="7"/>
        <v>1707.67</v>
      </c>
      <c r="C168" s="99" t="s">
        <v>88</v>
      </c>
      <c r="D168" s="443">
        <v>230199</v>
      </c>
      <c r="E168" s="18">
        <v>0</v>
      </c>
      <c r="F168" s="90"/>
    </row>
    <row r="169" spans="1:6" ht="15.75">
      <c r="A169" s="93"/>
      <c r="B169" s="104">
        <f t="shared" si="7"/>
        <v>0</v>
      </c>
      <c r="C169" s="99" t="s">
        <v>420</v>
      </c>
      <c r="D169" s="443">
        <v>230199</v>
      </c>
      <c r="E169" s="18">
        <v>0</v>
      </c>
      <c r="F169" s="90"/>
    </row>
    <row r="170" spans="1:6" ht="15.75">
      <c r="A170" s="93"/>
      <c r="B170" s="104">
        <f>+E170</f>
        <v>450</v>
      </c>
      <c r="C170" s="99" t="s">
        <v>516</v>
      </c>
      <c r="D170" s="443">
        <v>230199</v>
      </c>
      <c r="E170" s="18">
        <v>450</v>
      </c>
      <c r="F170" s="90"/>
    </row>
    <row r="171" spans="1:6" ht="15.75">
      <c r="A171" s="93"/>
      <c r="B171" s="104">
        <f>+E171+B77</f>
        <v>0</v>
      </c>
      <c r="C171" s="99" t="s">
        <v>59</v>
      </c>
      <c r="D171" s="443">
        <v>210500</v>
      </c>
      <c r="E171" s="18">
        <v>0</v>
      </c>
      <c r="F171" s="90"/>
    </row>
    <row r="172" spans="1:6" ht="15.75">
      <c r="A172" s="93"/>
      <c r="B172" s="104">
        <f>+E172+B78</f>
        <v>157910</v>
      </c>
      <c r="C172" s="99" t="s">
        <v>14</v>
      </c>
      <c r="D172" s="443">
        <v>210402</v>
      </c>
      <c r="E172" s="18">
        <v>0</v>
      </c>
      <c r="F172" s="90"/>
    </row>
    <row r="173" spans="1:6" ht="15.75">
      <c r="A173" s="93"/>
      <c r="B173" s="104">
        <f>+E173+B79</f>
        <v>7704</v>
      </c>
      <c r="C173" s="99" t="s">
        <v>15</v>
      </c>
      <c r="D173" s="544">
        <v>300000</v>
      </c>
      <c r="E173" s="18">
        <v>7704</v>
      </c>
      <c r="F173" s="90"/>
    </row>
    <row r="174" spans="1:6" ht="15.75">
      <c r="A174" s="93"/>
      <c r="B174" s="104">
        <f>+E174+B80</f>
        <v>0</v>
      </c>
      <c r="C174" s="21" t="s">
        <v>532</v>
      </c>
      <c r="D174" s="544">
        <v>441000</v>
      </c>
      <c r="E174" s="18">
        <v>0</v>
      </c>
      <c r="F174" s="90"/>
    </row>
    <row r="175" spans="1:6" ht="15.75">
      <c r="A175" s="93"/>
      <c r="B175" s="104">
        <f>+E175+B81</f>
        <v>0</v>
      </c>
      <c r="C175" s="21" t="s">
        <v>533</v>
      </c>
      <c r="D175" s="544">
        <v>441000</v>
      </c>
      <c r="E175" s="18">
        <v>0</v>
      </c>
      <c r="F175" s="90"/>
    </row>
    <row r="176" spans="1:6" ht="15.75">
      <c r="A176" s="93"/>
      <c r="B176" s="104"/>
      <c r="C176" s="21"/>
      <c r="D176" s="73"/>
      <c r="E176" s="18"/>
      <c r="F176" s="90"/>
    </row>
    <row r="177" spans="1:6" ht="15.75">
      <c r="A177" s="93"/>
      <c r="B177" s="10">
        <f>SUM(B160:B176)</f>
        <v>2332933.79</v>
      </c>
      <c r="C177" s="21"/>
      <c r="D177" s="17"/>
      <c r="E177" s="10">
        <f>SUM(E160:E176)</f>
        <v>1025957.51</v>
      </c>
      <c r="F177" s="549"/>
    </row>
    <row r="178" spans="1:6" ht="16.5" thickBot="1">
      <c r="A178" s="90"/>
      <c r="B178" s="89">
        <f>SUM(B177,B159)</f>
        <v>5631944.1899999995</v>
      </c>
      <c r="C178" s="304" t="s">
        <v>31</v>
      </c>
      <c r="D178" s="17"/>
      <c r="E178" s="89">
        <f>SUM(E177,E159)</f>
        <v>3461053.5</v>
      </c>
      <c r="F178" s="549"/>
    </row>
    <row r="179" spans="2:6" ht="16.5" thickTop="1">
      <c r="B179" s="99"/>
      <c r="C179" s="543" t="s">
        <v>164</v>
      </c>
      <c r="D179" s="17"/>
      <c r="E179" s="99"/>
      <c r="F179" s="21"/>
    </row>
    <row r="180" spans="2:6" ht="15.75">
      <c r="B180" s="101"/>
      <c r="C180" s="543" t="s">
        <v>167</v>
      </c>
      <c r="D180" s="17"/>
      <c r="E180" s="101"/>
      <c r="F180" s="551"/>
    </row>
    <row r="181" spans="2:6" ht="15.75">
      <c r="B181" s="101">
        <f>SUM(B136-B178)</f>
        <v>654592.7800000012</v>
      </c>
      <c r="C181" s="543" t="s">
        <v>165</v>
      </c>
      <c r="E181" s="101">
        <f>SUM(E136-E178)</f>
        <v>2159311.7300000004</v>
      </c>
      <c r="F181" s="551"/>
    </row>
    <row r="182" spans="2:7" ht="16.5" thickBot="1">
      <c r="B182" s="102">
        <f>SUM(B100+B136-B178)</f>
        <v>27526205.96999999</v>
      </c>
      <c r="C182" s="543" t="s">
        <v>166</v>
      </c>
      <c r="E182" s="102">
        <f>SUM(E100+E136-E178)</f>
        <v>27526205.969999988</v>
      </c>
      <c r="F182" s="103"/>
      <c r="G182" s="151">
        <f>+งบดุลบัญชี!Q5</f>
        <v>27526205.830000006</v>
      </c>
    </row>
    <row r="183" spans="2:7" ht="16.5" thickTop="1">
      <c r="B183" s="103"/>
      <c r="C183" s="543"/>
      <c r="E183" s="103"/>
      <c r="F183" s="103"/>
      <c r="G183" s="151">
        <f>+E182-G182</f>
        <v>0.13999998196959496</v>
      </c>
    </row>
    <row r="185" spans="1:6" ht="15.75">
      <c r="A185" s="729" t="s">
        <v>33</v>
      </c>
      <c r="B185" s="729"/>
      <c r="C185" s="542" t="str">
        <f>+A185</f>
        <v>(นายวสันต์  ไทรแก้ว)</v>
      </c>
      <c r="D185" s="729" t="s">
        <v>411</v>
      </c>
      <c r="E185" s="729"/>
      <c r="F185" s="542"/>
    </row>
    <row r="186" spans="1:6" ht="15.75">
      <c r="A186" s="729" t="s">
        <v>389</v>
      </c>
      <c r="B186" s="729"/>
      <c r="C186" s="542" t="s">
        <v>289</v>
      </c>
      <c r="D186" s="729" t="s">
        <v>38</v>
      </c>
      <c r="E186" s="729"/>
      <c r="F186" s="542"/>
    </row>
    <row r="187" spans="1:6" ht="15.75">
      <c r="A187" s="729" t="s">
        <v>36</v>
      </c>
      <c r="B187" s="729"/>
      <c r="D187" s="729"/>
      <c r="E187" s="729"/>
      <c r="F187" s="542"/>
    </row>
    <row r="188" spans="1:6" ht="15.75">
      <c r="A188" s="35" t="s">
        <v>29</v>
      </c>
      <c r="D188" s="95" t="s">
        <v>158</v>
      </c>
      <c r="E188" s="114" t="s">
        <v>637</v>
      </c>
      <c r="F188" s="114"/>
    </row>
    <row r="189" spans="1:6" ht="15.75">
      <c r="A189" s="741" t="s">
        <v>154</v>
      </c>
      <c r="B189" s="741"/>
      <c r="C189" s="741"/>
      <c r="D189" s="741"/>
      <c r="E189" s="741"/>
      <c r="F189" s="543"/>
    </row>
    <row r="190" spans="5:6" ht="15.75">
      <c r="E190" s="543" t="s">
        <v>603</v>
      </c>
      <c r="F190" s="543"/>
    </row>
    <row r="191" spans="1:6" ht="15.75">
      <c r="A191" s="755" t="s">
        <v>155</v>
      </c>
      <c r="B191" s="755"/>
      <c r="C191" s="96"/>
      <c r="D191" s="96"/>
      <c r="E191" s="545" t="s">
        <v>157</v>
      </c>
      <c r="F191" s="304"/>
    </row>
    <row r="192" spans="1:6" ht="15.75">
      <c r="A192" s="86" t="s">
        <v>16</v>
      </c>
      <c r="B192" s="86" t="s">
        <v>156</v>
      </c>
      <c r="C192" s="86" t="s">
        <v>0</v>
      </c>
      <c r="D192" s="86" t="s">
        <v>139</v>
      </c>
      <c r="E192" s="86" t="s">
        <v>156</v>
      </c>
      <c r="F192" s="304"/>
    </row>
    <row r="193" spans="1:6" ht="15.75">
      <c r="A193" s="97" t="s">
        <v>49</v>
      </c>
      <c r="B193" s="97" t="s">
        <v>49</v>
      </c>
      <c r="C193" s="98"/>
      <c r="D193" s="98"/>
      <c r="E193" s="97" t="s">
        <v>49</v>
      </c>
      <c r="F193" s="304"/>
    </row>
    <row r="194" spans="1:6" ht="15.75">
      <c r="A194" s="18"/>
      <c r="B194" s="19">
        <v>26871613.18999999</v>
      </c>
      <c r="C194" s="87" t="s">
        <v>159</v>
      </c>
      <c r="D194" s="99"/>
      <c r="E194" s="19">
        <f>+E182</f>
        <v>27526205.969999988</v>
      </c>
      <c r="F194" s="549"/>
    </row>
    <row r="195" spans="1:6" ht="15.75">
      <c r="A195" s="18"/>
      <c r="B195" s="18"/>
      <c r="C195" s="87" t="s">
        <v>160</v>
      </c>
      <c r="D195" s="99"/>
      <c r="E195" s="18"/>
      <c r="F195" s="90"/>
    </row>
    <row r="196" spans="1:6" ht="15.75">
      <c r="A196" s="104">
        <v>191000</v>
      </c>
      <c r="B196" s="104">
        <f>+E196+B102</f>
        <v>34.5</v>
      </c>
      <c r="C196" s="99" t="s">
        <v>19</v>
      </c>
      <c r="D196" s="544">
        <v>411000</v>
      </c>
      <c r="E196" s="18">
        <v>0</v>
      </c>
      <c r="F196" s="90"/>
    </row>
    <row r="197" spans="1:6" ht="15.75">
      <c r="A197" s="104">
        <v>186700</v>
      </c>
      <c r="B197" s="104">
        <f aca="true" t="shared" si="8" ref="B197:B203">+E197+B103</f>
        <v>38690</v>
      </c>
      <c r="C197" s="99" t="s">
        <v>357</v>
      </c>
      <c r="D197" s="544">
        <v>412000</v>
      </c>
      <c r="E197" s="18">
        <v>16420</v>
      </c>
      <c r="F197" s="90"/>
    </row>
    <row r="198" spans="1:6" ht="15.75">
      <c r="A198" s="104">
        <v>291000</v>
      </c>
      <c r="B198" s="104">
        <f t="shared" si="8"/>
        <v>114354.21</v>
      </c>
      <c r="C198" s="99" t="s">
        <v>21</v>
      </c>
      <c r="D198" s="544">
        <v>413000</v>
      </c>
      <c r="E198" s="18">
        <v>114354.21</v>
      </c>
      <c r="F198" s="90"/>
    </row>
    <row r="199" spans="1:6" ht="15.75">
      <c r="A199" s="104">
        <v>180000</v>
      </c>
      <c r="B199" s="104">
        <f t="shared" si="8"/>
        <v>62225</v>
      </c>
      <c r="C199" s="99" t="s">
        <v>23</v>
      </c>
      <c r="D199" s="544">
        <v>414000</v>
      </c>
      <c r="E199" s="18">
        <v>15260</v>
      </c>
      <c r="F199" s="90"/>
    </row>
    <row r="200" spans="1:6" ht="15.75">
      <c r="A200" s="104">
        <v>120000</v>
      </c>
      <c r="B200" s="104">
        <f t="shared" si="8"/>
        <v>13630</v>
      </c>
      <c r="C200" s="99" t="s">
        <v>20</v>
      </c>
      <c r="D200" s="544">
        <v>415000</v>
      </c>
      <c r="E200" s="18">
        <v>420</v>
      </c>
      <c r="F200" s="90"/>
    </row>
    <row r="201" spans="1:6" ht="15.75">
      <c r="A201" s="104">
        <v>500</v>
      </c>
      <c r="B201" s="104">
        <f t="shared" si="8"/>
        <v>0</v>
      </c>
      <c r="C201" s="99" t="s">
        <v>125</v>
      </c>
      <c r="D201" s="544">
        <v>416000</v>
      </c>
      <c r="E201" s="18">
        <v>0</v>
      </c>
      <c r="F201" s="90"/>
    </row>
    <row r="202" spans="1:6" ht="15.75">
      <c r="A202" s="104">
        <v>12750000</v>
      </c>
      <c r="B202" s="104">
        <f t="shared" si="8"/>
        <v>1523579.7499999998</v>
      </c>
      <c r="C202" s="99" t="s">
        <v>50</v>
      </c>
      <c r="D202" s="544">
        <v>421000</v>
      </c>
      <c r="E202" s="18">
        <v>117409.45</v>
      </c>
      <c r="F202" s="90"/>
    </row>
    <row r="203" spans="1:6" ht="15.75">
      <c r="A203" s="104">
        <v>17000000</v>
      </c>
      <c r="B203" s="104">
        <f t="shared" si="8"/>
        <v>16388734</v>
      </c>
      <c r="C203" s="99" t="s">
        <v>22</v>
      </c>
      <c r="D203" s="544">
        <v>431002</v>
      </c>
      <c r="E203" s="18">
        <v>16388734</v>
      </c>
      <c r="F203" s="90"/>
    </row>
    <row r="204" spans="1:6" ht="16.5" thickBot="1">
      <c r="A204" s="89">
        <f>SUM(A196:A203)</f>
        <v>30719200</v>
      </c>
      <c r="B204" s="89">
        <f>SUM(B196:B203)</f>
        <v>18141247.46</v>
      </c>
      <c r="C204" s="99"/>
      <c r="D204" s="544"/>
      <c r="E204" s="89">
        <f>SUM(E196:E203)</f>
        <v>16652597.66</v>
      </c>
      <c r="F204" s="549"/>
    </row>
    <row r="205" spans="1:6" ht="16.5" thickTop="1">
      <c r="A205" s="100"/>
      <c r="B205" s="104">
        <f>+E205+B111</f>
        <v>0</v>
      </c>
      <c r="C205" s="99" t="s">
        <v>71</v>
      </c>
      <c r="D205" s="544">
        <v>441000</v>
      </c>
      <c r="E205" s="18">
        <v>0</v>
      </c>
      <c r="F205" s="90"/>
    </row>
    <row r="206" spans="1:6" ht="15.75">
      <c r="A206" s="93"/>
      <c r="B206" s="104">
        <f aca="true" t="shared" si="9" ref="B206:B223">+E206+B112</f>
        <v>5303400</v>
      </c>
      <c r="C206" s="99" t="s">
        <v>124</v>
      </c>
      <c r="D206" s="544">
        <v>441000</v>
      </c>
      <c r="E206" s="18">
        <v>522000</v>
      </c>
      <c r="F206" s="90"/>
    </row>
    <row r="207" spans="1:6" ht="15.75">
      <c r="A207" s="93"/>
      <c r="B207" s="104">
        <f t="shared" si="9"/>
        <v>5673.78</v>
      </c>
      <c r="C207" s="99" t="s">
        <v>26</v>
      </c>
      <c r="D207" s="544">
        <v>230102</v>
      </c>
      <c r="E207" s="18">
        <v>1982.63</v>
      </c>
      <c r="F207" s="90"/>
    </row>
    <row r="208" spans="1:6" ht="15.75">
      <c r="A208" s="17"/>
      <c r="B208" s="104">
        <f t="shared" si="9"/>
        <v>7.76</v>
      </c>
      <c r="C208" s="99" t="s">
        <v>161</v>
      </c>
      <c r="D208" s="544">
        <v>230105</v>
      </c>
      <c r="E208" s="18">
        <v>0</v>
      </c>
      <c r="F208" s="90"/>
    </row>
    <row r="209" spans="1:6" ht="15.75">
      <c r="A209" s="21"/>
      <c r="B209" s="104">
        <f t="shared" si="9"/>
        <v>201596</v>
      </c>
      <c r="C209" s="99" t="s">
        <v>27</v>
      </c>
      <c r="D209" s="544">
        <v>230108</v>
      </c>
      <c r="E209" s="18">
        <v>195594</v>
      </c>
      <c r="F209" s="90"/>
    </row>
    <row r="210" spans="1:6" ht="15.75">
      <c r="A210" s="21"/>
      <c r="B210" s="104">
        <f t="shared" si="9"/>
        <v>0</v>
      </c>
      <c r="C210" s="99" t="s">
        <v>353</v>
      </c>
      <c r="D210" s="544">
        <v>230199</v>
      </c>
      <c r="E210" s="18">
        <v>0</v>
      </c>
      <c r="F210" s="90"/>
    </row>
    <row r="211" spans="1:6" ht="15.75">
      <c r="A211" s="21"/>
      <c r="B211" s="104">
        <f t="shared" si="9"/>
        <v>3148.61</v>
      </c>
      <c r="C211" s="16" t="s">
        <v>88</v>
      </c>
      <c r="D211" s="544">
        <v>230199</v>
      </c>
      <c r="E211" s="18">
        <v>0</v>
      </c>
      <c r="F211" s="90"/>
    </row>
    <row r="212" spans="1:6" ht="15.75">
      <c r="A212" s="21"/>
      <c r="B212" s="104">
        <f t="shared" si="9"/>
        <v>112.65</v>
      </c>
      <c r="C212" s="99" t="s">
        <v>57</v>
      </c>
      <c r="D212" s="544">
        <v>110602</v>
      </c>
      <c r="E212" s="18">
        <v>0</v>
      </c>
      <c r="F212" s="90"/>
    </row>
    <row r="213" spans="2:6" ht="15.75">
      <c r="B213" s="104">
        <f t="shared" si="9"/>
        <v>1815</v>
      </c>
      <c r="C213" s="99" t="s">
        <v>60</v>
      </c>
      <c r="D213" s="544">
        <v>110604</v>
      </c>
      <c r="E213" s="18">
        <v>0</v>
      </c>
      <c r="F213" s="90"/>
    </row>
    <row r="214" spans="2:6" ht="15.75">
      <c r="B214" s="104">
        <f t="shared" si="9"/>
        <v>0</v>
      </c>
      <c r="C214" s="99" t="s">
        <v>130</v>
      </c>
      <c r="D214" s="544">
        <v>110605</v>
      </c>
      <c r="E214" s="18">
        <v>0</v>
      </c>
      <c r="F214" s="90"/>
    </row>
    <row r="215" spans="2:6" ht="15.75">
      <c r="B215" s="104">
        <f t="shared" si="9"/>
        <v>0</v>
      </c>
      <c r="C215" s="99" t="s">
        <v>152</v>
      </c>
      <c r="D215" s="544">
        <v>110606</v>
      </c>
      <c r="E215" s="18">
        <v>0</v>
      </c>
      <c r="F215" s="90"/>
    </row>
    <row r="216" spans="2:6" ht="15.75">
      <c r="B216" s="104">
        <f t="shared" si="9"/>
        <v>0</v>
      </c>
      <c r="C216" s="16" t="s">
        <v>360</v>
      </c>
      <c r="D216" s="544">
        <v>300000</v>
      </c>
      <c r="E216" s="18">
        <v>0</v>
      </c>
      <c r="F216" s="90"/>
    </row>
    <row r="217" spans="2:6" ht="15.75">
      <c r="B217" s="104">
        <f t="shared" si="9"/>
        <v>700</v>
      </c>
      <c r="C217" s="16" t="s">
        <v>361</v>
      </c>
      <c r="D217" s="544">
        <v>441000</v>
      </c>
      <c r="E217" s="18">
        <v>700</v>
      </c>
      <c r="F217" s="90"/>
    </row>
    <row r="218" spans="2:6" ht="15.75">
      <c r="B218" s="104">
        <f t="shared" si="9"/>
        <v>0</v>
      </c>
      <c r="C218" s="16" t="s">
        <v>367</v>
      </c>
      <c r="D218" s="544">
        <v>441000</v>
      </c>
      <c r="E218" s="18">
        <v>0</v>
      </c>
      <c r="F218" s="90"/>
    </row>
    <row r="219" spans="2:6" ht="15.75">
      <c r="B219" s="104">
        <f t="shared" si="9"/>
        <v>0</v>
      </c>
      <c r="C219" s="16" t="s">
        <v>426</v>
      </c>
      <c r="D219" s="544">
        <v>441000</v>
      </c>
      <c r="E219" s="18">
        <v>0</v>
      </c>
      <c r="F219" s="90"/>
    </row>
    <row r="220" spans="2:6" ht="15.75">
      <c r="B220" s="104">
        <f t="shared" si="9"/>
        <v>1400</v>
      </c>
      <c r="C220" s="16" t="s">
        <v>606</v>
      </c>
      <c r="D220" s="544">
        <v>300000</v>
      </c>
      <c r="E220" s="18">
        <v>0</v>
      </c>
      <c r="F220" s="90"/>
    </row>
    <row r="221" spans="2:6" ht="15.75">
      <c r="B221" s="104">
        <f t="shared" si="9"/>
        <v>0</v>
      </c>
      <c r="C221" s="16" t="s">
        <v>430</v>
      </c>
      <c r="D221" s="544">
        <v>532000</v>
      </c>
      <c r="E221" s="18">
        <v>0</v>
      </c>
      <c r="F221" s="90"/>
    </row>
    <row r="222" spans="2:6" ht="15.75">
      <c r="B222" s="104">
        <f t="shared" si="9"/>
        <v>0</v>
      </c>
      <c r="C222" s="16" t="s">
        <v>313</v>
      </c>
      <c r="D222" s="544">
        <v>230200</v>
      </c>
      <c r="E222" s="18">
        <v>0</v>
      </c>
      <c r="F222" s="90"/>
    </row>
    <row r="223" spans="2:6" ht="15.75">
      <c r="B223" s="104">
        <f t="shared" si="9"/>
        <v>310</v>
      </c>
      <c r="C223" s="16" t="s">
        <v>424</v>
      </c>
      <c r="D223" s="544">
        <v>522000</v>
      </c>
      <c r="E223" s="18">
        <v>0</v>
      </c>
      <c r="F223" s="90"/>
    </row>
    <row r="224" spans="2:6" ht="15.75">
      <c r="B224" s="104">
        <f>+E224</f>
        <v>9960</v>
      </c>
      <c r="C224" s="16" t="s">
        <v>473</v>
      </c>
      <c r="D224" s="544">
        <v>110605</v>
      </c>
      <c r="E224" s="18">
        <v>9960</v>
      </c>
      <c r="F224" s="90"/>
    </row>
    <row r="225" spans="2:6" ht="15.75">
      <c r="B225" s="104"/>
      <c r="C225" s="16"/>
      <c r="D225" s="544"/>
      <c r="E225" s="18"/>
      <c r="F225" s="90"/>
    </row>
    <row r="226" spans="2:6" ht="15.75">
      <c r="B226" s="104"/>
      <c r="C226" s="16"/>
      <c r="D226" s="544"/>
      <c r="E226" s="18"/>
      <c r="F226" s="90"/>
    </row>
    <row r="227" spans="2:6" ht="15.75">
      <c r="B227" s="104"/>
      <c r="C227" s="16"/>
      <c r="D227" s="544"/>
      <c r="E227" s="18"/>
      <c r="F227" s="90"/>
    </row>
    <row r="228" spans="2:6" ht="15.75">
      <c r="B228" s="18"/>
      <c r="C228" s="16"/>
      <c r="D228" s="98"/>
      <c r="E228" s="18"/>
      <c r="F228" s="90"/>
    </row>
    <row r="229" spans="2:6" ht="15.75">
      <c r="B229" s="10">
        <f>SUM(B205:B228)</f>
        <v>5528123.800000001</v>
      </c>
      <c r="C229" s="16"/>
      <c r="D229" s="17"/>
      <c r="E229" s="10">
        <f>SUM(E205:E228)</f>
        <v>730236.63</v>
      </c>
      <c r="F229" s="549"/>
    </row>
    <row r="230" spans="2:6" ht="16.5" thickBot="1">
      <c r="B230" s="89">
        <f>SUM(B229+B204)</f>
        <v>23669371.26</v>
      </c>
      <c r="C230" s="39" t="s">
        <v>32</v>
      </c>
      <c r="D230" s="17"/>
      <c r="E230" s="89">
        <f>SUM(E204,E229)</f>
        <v>17382834.29</v>
      </c>
      <c r="F230" s="549"/>
    </row>
    <row r="231" ht="16.5" thickTop="1"/>
    <row r="236" spans="1:6" ht="15.75">
      <c r="A236" s="755" t="s">
        <v>155</v>
      </c>
      <c r="B236" s="755"/>
      <c r="C236" s="96"/>
      <c r="D236" s="96"/>
      <c r="E236" s="545" t="s">
        <v>157</v>
      </c>
      <c r="F236" s="304"/>
    </row>
    <row r="237" spans="1:6" ht="15.75">
      <c r="A237" s="86" t="s">
        <v>16</v>
      </c>
      <c r="B237" s="86" t="s">
        <v>156</v>
      </c>
      <c r="C237" s="86" t="s">
        <v>0</v>
      </c>
      <c r="D237" s="86" t="s">
        <v>139</v>
      </c>
      <c r="E237" s="86" t="s">
        <v>156</v>
      </c>
      <c r="F237" s="304"/>
    </row>
    <row r="238" spans="1:6" ht="15.75">
      <c r="A238" s="97" t="s">
        <v>49</v>
      </c>
      <c r="B238" s="97" t="s">
        <v>49</v>
      </c>
      <c r="C238" s="98"/>
      <c r="D238" s="98"/>
      <c r="E238" s="97" t="s">
        <v>49</v>
      </c>
      <c r="F238" s="304"/>
    </row>
    <row r="239" spans="1:6" ht="15.75">
      <c r="A239" s="18"/>
      <c r="B239" s="18"/>
      <c r="C239" s="87" t="s">
        <v>30</v>
      </c>
      <c r="D239" s="99"/>
      <c r="E239" s="15"/>
      <c r="F239" s="90"/>
    </row>
    <row r="240" spans="1:6" ht="17.25">
      <c r="A240" s="18">
        <v>1423230</v>
      </c>
      <c r="B240" s="104">
        <f>+E240+B146</f>
        <v>559987.61</v>
      </c>
      <c r="C240" s="99" t="s">
        <v>11</v>
      </c>
      <c r="D240" s="71">
        <v>510000</v>
      </c>
      <c r="E240" s="94">
        <v>358990.61</v>
      </c>
      <c r="F240" s="550"/>
    </row>
    <row r="241" spans="1:6" ht="17.25">
      <c r="A241" s="18">
        <v>2624640</v>
      </c>
      <c r="B241" s="104">
        <f aca="true" t="shared" si="10" ref="B241:B252">+E241+B147</f>
        <v>646178</v>
      </c>
      <c r="C241" s="99" t="s">
        <v>162</v>
      </c>
      <c r="D241" s="71">
        <v>521000</v>
      </c>
      <c r="E241" s="85">
        <v>228058</v>
      </c>
      <c r="F241" s="167"/>
    </row>
    <row r="242" spans="1:6" ht="17.25">
      <c r="A242" s="18">
        <f>2150000+300000+76000+750000+100000+21000+350000+50000+21000</f>
        <v>3818000</v>
      </c>
      <c r="B242" s="104">
        <f t="shared" si="10"/>
        <v>788247.58</v>
      </c>
      <c r="C242" s="99" t="s">
        <v>163</v>
      </c>
      <c r="D242" s="71">
        <v>522000</v>
      </c>
      <c r="E242" s="85">
        <v>270915</v>
      </c>
      <c r="F242" s="167"/>
    </row>
    <row r="243" spans="1:6" ht="17.25">
      <c r="A243" s="18">
        <f>300000+55000</f>
        <v>355000</v>
      </c>
      <c r="B243" s="104">
        <f t="shared" si="10"/>
        <v>81855</v>
      </c>
      <c r="C243" s="99" t="s">
        <v>3</v>
      </c>
      <c r="D243" s="71">
        <v>220400</v>
      </c>
      <c r="E243" s="85">
        <v>27285</v>
      </c>
      <c r="F243" s="167"/>
    </row>
    <row r="244" spans="1:6" ht="17.25">
      <c r="A244" s="18">
        <f>980000+580000+115000+70000+20000+10000+230000+120000</f>
        <v>2125000</v>
      </c>
      <c r="B244" s="104">
        <f t="shared" si="10"/>
        <v>506700</v>
      </c>
      <c r="C244" s="99" t="s">
        <v>4</v>
      </c>
      <c r="D244" s="71">
        <v>220600</v>
      </c>
      <c r="E244" s="85">
        <v>159900</v>
      </c>
      <c r="F244" s="167"/>
    </row>
    <row r="245" spans="1:6" ht="17.25">
      <c r="A245" s="18">
        <f>514000+160000+50000+10500+100000</f>
        <v>834500</v>
      </c>
      <c r="B245" s="104">
        <f t="shared" si="10"/>
        <v>74035</v>
      </c>
      <c r="C245" s="99" t="s">
        <v>5</v>
      </c>
      <c r="D245" s="71">
        <v>531000</v>
      </c>
      <c r="E245" s="85">
        <v>25258</v>
      </c>
      <c r="F245" s="167"/>
    </row>
    <row r="246" spans="1:6" ht="17.25">
      <c r="A246" s="18">
        <f>1215000+160000+170000+160000+1200630+100000+80000+50000+700000+395000+550000+420000+100000+30000+150000</f>
        <v>5480630</v>
      </c>
      <c r="B246" s="104">
        <f t="shared" si="10"/>
        <v>835033.15</v>
      </c>
      <c r="C246" s="99" t="s">
        <v>6</v>
      </c>
      <c r="D246" s="71">
        <v>532000</v>
      </c>
      <c r="E246" s="85">
        <v>353991</v>
      </c>
      <c r="F246" s="167"/>
    </row>
    <row r="247" spans="1:6" ht="17.25">
      <c r="A247" s="18">
        <f>780000+100000+32500+2054500+100000+100000+180000+680000+50000+50000</f>
        <v>4127000</v>
      </c>
      <c r="B247" s="104">
        <f t="shared" si="10"/>
        <v>202049</v>
      </c>
      <c r="C247" s="99" t="s">
        <v>7</v>
      </c>
      <c r="D247" s="71">
        <v>533000</v>
      </c>
      <c r="E247" s="85">
        <v>87450</v>
      </c>
      <c r="F247" s="167"/>
    </row>
    <row r="248" spans="1:6" ht="17.25">
      <c r="A248" s="18">
        <f>460000+470000</f>
        <v>930000</v>
      </c>
      <c r="B248" s="104">
        <f t="shared" si="10"/>
        <v>160362.01</v>
      </c>
      <c r="C248" s="99" t="s">
        <v>8</v>
      </c>
      <c r="D248" s="71">
        <v>534000</v>
      </c>
      <c r="E248" s="85">
        <v>70989.34</v>
      </c>
      <c r="F248" s="167"/>
    </row>
    <row r="249" spans="1:6" ht="17.25">
      <c r="A249" s="18">
        <f>150000+148000+92000+100000</f>
        <v>490000</v>
      </c>
      <c r="B249" s="104">
        <f t="shared" si="10"/>
        <v>7900</v>
      </c>
      <c r="C249" s="99" t="s">
        <v>9</v>
      </c>
      <c r="D249" s="71">
        <v>541000</v>
      </c>
      <c r="E249" s="85">
        <v>0</v>
      </c>
      <c r="F249" s="167"/>
    </row>
    <row r="250" spans="1:6" ht="17.25">
      <c r="A250" s="18">
        <f>743200+97100+3552900</f>
        <v>4393200</v>
      </c>
      <c r="B250" s="104">
        <f t="shared" si="10"/>
        <v>98500</v>
      </c>
      <c r="C250" s="99" t="s">
        <v>10</v>
      </c>
      <c r="D250" s="71">
        <v>542000</v>
      </c>
      <c r="E250" s="85">
        <v>0</v>
      </c>
      <c r="F250" s="167"/>
    </row>
    <row r="251" spans="1:6" ht="17.25">
      <c r="A251" s="18">
        <f>20000+3684000+240000+30000+40000+69000+10000</f>
        <v>4093000</v>
      </c>
      <c r="B251" s="104">
        <f t="shared" si="10"/>
        <v>1012000</v>
      </c>
      <c r="C251" s="99" t="s">
        <v>13</v>
      </c>
      <c r="D251" s="544">
        <v>560000</v>
      </c>
      <c r="E251" s="85">
        <v>91000</v>
      </c>
      <c r="F251" s="167"/>
    </row>
    <row r="252" spans="1:6" ht="15.75">
      <c r="A252" s="18">
        <v>25000</v>
      </c>
      <c r="B252" s="104">
        <f t="shared" si="10"/>
        <v>0</v>
      </c>
      <c r="C252" s="99" t="s">
        <v>12</v>
      </c>
      <c r="D252" s="71">
        <v>550000</v>
      </c>
      <c r="E252" s="18">
        <v>0</v>
      </c>
      <c r="F252" s="90"/>
    </row>
    <row r="253" spans="1:6" ht="16.5" thickBot="1">
      <c r="A253" s="89">
        <f>SUM(A240:A252)</f>
        <v>30719200</v>
      </c>
      <c r="B253" s="89">
        <f>SUM(B240:B252)</f>
        <v>4972847.35</v>
      </c>
      <c r="C253" s="39"/>
      <c r="D253" s="99"/>
      <c r="E253" s="89">
        <f>SUM(E240:E252)</f>
        <v>1673836.95</v>
      </c>
      <c r="F253" s="549"/>
    </row>
    <row r="254" spans="1:6" ht="16.5" thickTop="1">
      <c r="A254" s="100"/>
      <c r="B254" s="104">
        <f>+E254+B160</f>
        <v>146000</v>
      </c>
      <c r="C254" s="99" t="s">
        <v>602</v>
      </c>
      <c r="D254" s="71">
        <v>441000</v>
      </c>
      <c r="E254" s="18">
        <v>146000</v>
      </c>
      <c r="F254" s="90"/>
    </row>
    <row r="255" spans="1:6" ht="15.75">
      <c r="A255" s="93"/>
      <c r="B255" s="104">
        <f aca="true" t="shared" si="11" ref="B255:B269">+E255+B161</f>
        <v>0</v>
      </c>
      <c r="C255" s="99" t="s">
        <v>25</v>
      </c>
      <c r="D255" s="71">
        <v>412210</v>
      </c>
      <c r="E255" s="18">
        <v>0</v>
      </c>
      <c r="F255" s="90"/>
    </row>
    <row r="256" spans="1:6" ht="15.75">
      <c r="A256" s="93"/>
      <c r="B256" s="104">
        <f t="shared" si="11"/>
        <v>530364.33</v>
      </c>
      <c r="C256" s="99" t="s">
        <v>146</v>
      </c>
      <c r="D256" s="544">
        <v>110202</v>
      </c>
      <c r="E256" s="18">
        <v>530364.33</v>
      </c>
      <c r="F256" s="90"/>
    </row>
    <row r="257" spans="1:6" ht="15.75">
      <c r="A257" s="93"/>
      <c r="B257" s="104">
        <f t="shared" si="11"/>
        <v>204650</v>
      </c>
      <c r="C257" s="99" t="s">
        <v>130</v>
      </c>
      <c r="D257" s="71">
        <v>110605</v>
      </c>
      <c r="E257" s="18">
        <v>25960</v>
      </c>
      <c r="F257" s="90"/>
    </row>
    <row r="258" spans="1:6" ht="15.75">
      <c r="A258" s="93"/>
      <c r="B258" s="104">
        <f t="shared" si="11"/>
        <v>646400</v>
      </c>
      <c r="C258" s="99" t="s">
        <v>440</v>
      </c>
      <c r="D258" s="71">
        <v>110609</v>
      </c>
      <c r="E258" s="18">
        <v>646400</v>
      </c>
      <c r="F258" s="90"/>
    </row>
    <row r="259" spans="1:6" ht="15.75">
      <c r="A259" s="93"/>
      <c r="B259" s="104">
        <f t="shared" si="11"/>
        <v>2143180</v>
      </c>
      <c r="C259" s="99" t="s">
        <v>152</v>
      </c>
      <c r="D259" s="544">
        <v>110606</v>
      </c>
      <c r="E259" s="18">
        <v>184440</v>
      </c>
      <c r="F259" s="90"/>
    </row>
    <row r="260" spans="1:6" ht="15.75">
      <c r="A260" s="93"/>
      <c r="B260" s="104">
        <f t="shared" si="11"/>
        <v>21309.76</v>
      </c>
      <c r="C260" s="99" t="s">
        <v>26</v>
      </c>
      <c r="D260" s="544">
        <v>230102</v>
      </c>
      <c r="E260" s="18">
        <v>2067.64</v>
      </c>
      <c r="F260" s="90"/>
    </row>
    <row r="261" spans="1:6" ht="15.75">
      <c r="A261" s="93"/>
      <c r="B261" s="104">
        <f t="shared" si="11"/>
        <v>25393</v>
      </c>
      <c r="C261" s="99" t="s">
        <v>364</v>
      </c>
      <c r="D261" s="544">
        <v>230108</v>
      </c>
      <c r="E261" s="18">
        <v>16903</v>
      </c>
      <c r="F261" s="90"/>
    </row>
    <row r="262" spans="1:6" ht="15.75">
      <c r="A262" s="93"/>
      <c r="B262" s="104">
        <f t="shared" si="11"/>
        <v>1707.67</v>
      </c>
      <c r="C262" s="99" t="s">
        <v>88</v>
      </c>
      <c r="D262" s="443">
        <v>230199</v>
      </c>
      <c r="E262" s="18">
        <v>0</v>
      </c>
      <c r="F262" s="90"/>
    </row>
    <row r="263" spans="1:6" ht="15.75">
      <c r="A263" s="93"/>
      <c r="B263" s="104">
        <f t="shared" si="11"/>
        <v>0</v>
      </c>
      <c r="C263" s="99" t="s">
        <v>420</v>
      </c>
      <c r="D263" s="443">
        <v>230199</v>
      </c>
      <c r="E263" s="18">
        <v>0</v>
      </c>
      <c r="F263" s="90"/>
    </row>
    <row r="264" spans="1:6" ht="15.75">
      <c r="A264" s="93"/>
      <c r="B264" s="104">
        <f t="shared" si="11"/>
        <v>450</v>
      </c>
      <c r="C264" s="99" t="s">
        <v>516</v>
      </c>
      <c r="D264" s="443">
        <v>230199</v>
      </c>
      <c r="E264" s="18">
        <v>0</v>
      </c>
      <c r="F264" s="90"/>
    </row>
    <row r="265" spans="1:6" ht="15.75">
      <c r="A265" s="93"/>
      <c r="B265" s="104">
        <f t="shared" si="11"/>
        <v>0</v>
      </c>
      <c r="C265" s="99" t="s">
        <v>59</v>
      </c>
      <c r="D265" s="443">
        <v>210500</v>
      </c>
      <c r="E265" s="18">
        <v>0</v>
      </c>
      <c r="F265" s="90"/>
    </row>
    <row r="266" spans="1:6" ht="15.75">
      <c r="A266" s="93"/>
      <c r="B266" s="104">
        <f t="shared" si="11"/>
        <v>157910</v>
      </c>
      <c r="C266" s="99" t="s">
        <v>14</v>
      </c>
      <c r="D266" s="443">
        <v>210402</v>
      </c>
      <c r="E266" s="18">
        <v>0</v>
      </c>
      <c r="F266" s="90"/>
    </row>
    <row r="267" spans="1:6" ht="15.75">
      <c r="A267" s="93"/>
      <c r="B267" s="104">
        <f t="shared" si="11"/>
        <v>7704</v>
      </c>
      <c r="C267" s="99" t="s">
        <v>15</v>
      </c>
      <c r="D267" s="544">
        <v>300000</v>
      </c>
      <c r="E267" s="18">
        <v>0</v>
      </c>
      <c r="F267" s="90"/>
    </row>
    <row r="268" spans="1:6" ht="15.75">
      <c r="A268" s="93"/>
      <c r="B268" s="104">
        <f t="shared" si="11"/>
        <v>0</v>
      </c>
      <c r="C268" s="21" t="s">
        <v>532</v>
      </c>
      <c r="D268" s="544">
        <v>441000</v>
      </c>
      <c r="E268" s="18">
        <v>0</v>
      </c>
      <c r="F268" s="90"/>
    </row>
    <row r="269" spans="1:6" ht="15.75">
      <c r="A269" s="93"/>
      <c r="B269" s="104">
        <f t="shared" si="11"/>
        <v>0</v>
      </c>
      <c r="C269" s="21" t="s">
        <v>533</v>
      </c>
      <c r="D269" s="544">
        <v>441000</v>
      </c>
      <c r="E269" s="18">
        <v>0</v>
      </c>
      <c r="F269" s="90"/>
    </row>
    <row r="270" spans="1:6" ht="15.75">
      <c r="A270" s="93"/>
      <c r="B270" s="104"/>
      <c r="C270" s="21"/>
      <c r="D270" s="73"/>
      <c r="E270" s="18"/>
      <c r="F270" s="90"/>
    </row>
    <row r="271" spans="1:6" ht="15.75">
      <c r="A271" s="93"/>
      <c r="B271" s="10">
        <f>SUM(B254:B270)</f>
        <v>3885068.76</v>
      </c>
      <c r="C271" s="21"/>
      <c r="D271" s="17"/>
      <c r="E271" s="10">
        <f>SUM(E254:E270)</f>
        <v>1552134.97</v>
      </c>
      <c r="F271" s="549"/>
    </row>
    <row r="272" spans="1:6" ht="16.5" thickBot="1">
      <c r="A272" s="90"/>
      <c r="B272" s="89">
        <f>SUM(B271,B253)</f>
        <v>8857916.11</v>
      </c>
      <c r="C272" s="304" t="s">
        <v>31</v>
      </c>
      <c r="D272" s="17"/>
      <c r="E272" s="89">
        <f>SUM(E271,E253)</f>
        <v>3225971.92</v>
      </c>
      <c r="F272" s="549"/>
    </row>
    <row r="273" spans="2:6" ht="16.5" thickTop="1">
      <c r="B273" s="99"/>
      <c r="C273" s="543" t="s">
        <v>164</v>
      </c>
      <c r="D273" s="17"/>
      <c r="E273" s="99"/>
      <c r="F273" s="21"/>
    </row>
    <row r="274" spans="2:6" ht="15.75">
      <c r="B274" s="101"/>
      <c r="C274" s="543" t="s">
        <v>167</v>
      </c>
      <c r="D274" s="17"/>
      <c r="E274" s="101"/>
      <c r="F274" s="551"/>
    </row>
    <row r="275" spans="2:6" ht="15.75">
      <c r="B275" s="101">
        <f>SUM(B230-B272)</f>
        <v>14811455.150000002</v>
      </c>
      <c r="C275" s="543" t="s">
        <v>165</v>
      </c>
      <c r="E275" s="101">
        <f>SUM(E230-E272)</f>
        <v>14156862.37</v>
      </c>
      <c r="F275" s="551"/>
    </row>
    <row r="276" spans="2:7" ht="16.5" thickBot="1">
      <c r="B276" s="102">
        <f>SUM(B194+B230-B272)</f>
        <v>41683068.33999999</v>
      </c>
      <c r="C276" s="543" t="s">
        <v>166</v>
      </c>
      <c r="E276" s="102">
        <f>SUM(E194+E230-E272)</f>
        <v>41683068.33999999</v>
      </c>
      <c r="F276" s="103"/>
      <c r="G276" s="151">
        <f>+งบดุลบัญชี!W5</f>
        <v>41683068.20000001</v>
      </c>
    </row>
    <row r="277" spans="2:7" ht="16.5" thickTop="1">
      <c r="B277" s="103"/>
      <c r="C277" s="543"/>
      <c r="E277" s="103"/>
      <c r="F277" s="103"/>
      <c r="G277" s="151">
        <f>+E276-G276</f>
        <v>0.13999997824430466</v>
      </c>
    </row>
    <row r="279" spans="1:6" ht="15.75">
      <c r="A279" s="729" t="s">
        <v>33</v>
      </c>
      <c r="B279" s="729"/>
      <c r="C279" s="542" t="str">
        <f>+A279</f>
        <v>(นายวสันต์  ไทรแก้ว)</v>
      </c>
      <c r="D279" s="729" t="s">
        <v>411</v>
      </c>
      <c r="E279" s="729"/>
      <c r="F279" s="542"/>
    </row>
    <row r="280" spans="1:6" ht="15.75">
      <c r="A280" s="729" t="s">
        <v>389</v>
      </c>
      <c r="B280" s="729"/>
      <c r="C280" s="542" t="s">
        <v>289</v>
      </c>
      <c r="D280" s="729" t="s">
        <v>38</v>
      </c>
      <c r="E280" s="729"/>
      <c r="F280" s="542"/>
    </row>
    <row r="281" spans="1:6" ht="15.75">
      <c r="A281" s="729" t="s">
        <v>36</v>
      </c>
      <c r="B281" s="729"/>
      <c r="D281" s="729"/>
      <c r="E281" s="729"/>
      <c r="F281" s="542"/>
    </row>
    <row r="282" spans="1:6" ht="15.75">
      <c r="A282" s="35" t="s">
        <v>29</v>
      </c>
      <c r="D282" s="95" t="s">
        <v>158</v>
      </c>
      <c r="E282" s="114" t="s">
        <v>641</v>
      </c>
      <c r="F282" s="114"/>
    </row>
    <row r="283" spans="1:6" ht="15.75">
      <c r="A283" s="741" t="s">
        <v>154</v>
      </c>
      <c r="B283" s="741"/>
      <c r="C283" s="741"/>
      <c r="D283" s="741"/>
      <c r="E283" s="741"/>
      <c r="F283" s="543"/>
    </row>
    <row r="284" spans="5:6" ht="15.75">
      <c r="E284" s="543" t="s">
        <v>603</v>
      </c>
      <c r="F284" s="543"/>
    </row>
    <row r="285" spans="1:6" ht="15.75">
      <c r="A285" s="755" t="s">
        <v>155</v>
      </c>
      <c r="B285" s="755"/>
      <c r="C285" s="96"/>
      <c r="D285" s="96"/>
      <c r="E285" s="545" t="s">
        <v>157</v>
      </c>
      <c r="F285" s="304"/>
    </row>
    <row r="286" spans="1:6" ht="15.75">
      <c r="A286" s="86" t="s">
        <v>16</v>
      </c>
      <c r="B286" s="86" t="s">
        <v>156</v>
      </c>
      <c r="C286" s="86" t="s">
        <v>0</v>
      </c>
      <c r="D286" s="86" t="s">
        <v>139</v>
      </c>
      <c r="E286" s="86" t="s">
        <v>156</v>
      </c>
      <c r="F286" s="304"/>
    </row>
    <row r="287" spans="1:6" ht="15.75">
      <c r="A287" s="97" t="s">
        <v>49</v>
      </c>
      <c r="B287" s="97" t="s">
        <v>49</v>
      </c>
      <c r="C287" s="98"/>
      <c r="D287" s="98"/>
      <c r="E287" s="97" t="s">
        <v>49</v>
      </c>
      <c r="F287" s="304"/>
    </row>
    <row r="288" spans="1:6" ht="15.75">
      <c r="A288" s="18"/>
      <c r="B288" s="19">
        <v>26871613.18999999</v>
      </c>
      <c r="C288" s="87" t="s">
        <v>159</v>
      </c>
      <c r="D288" s="99"/>
      <c r="E288" s="19">
        <f>+E276</f>
        <v>41683068.33999999</v>
      </c>
      <c r="F288" s="549"/>
    </row>
    <row r="289" spans="1:6" ht="15.75">
      <c r="A289" s="18"/>
      <c r="B289" s="18"/>
      <c r="C289" s="87" t="s">
        <v>160</v>
      </c>
      <c r="D289" s="99"/>
      <c r="E289" s="18"/>
      <c r="F289" s="90"/>
    </row>
    <row r="290" spans="1:6" ht="15.75">
      <c r="A290" s="104">
        <v>191000</v>
      </c>
      <c r="B290" s="104">
        <f>+E290+B196</f>
        <v>20556.75</v>
      </c>
      <c r="C290" s="99" t="s">
        <v>19</v>
      </c>
      <c r="D290" s="544">
        <v>411000</v>
      </c>
      <c r="E290" s="18">
        <v>20522.25</v>
      </c>
      <c r="F290" s="90"/>
    </row>
    <row r="291" spans="1:6" ht="15.75">
      <c r="A291" s="104">
        <v>186700</v>
      </c>
      <c r="B291" s="104">
        <f aca="true" t="shared" si="12" ref="B291:B297">+E291+B197</f>
        <v>52630</v>
      </c>
      <c r="C291" s="99" t="s">
        <v>357</v>
      </c>
      <c r="D291" s="544">
        <v>412000</v>
      </c>
      <c r="E291" s="18">
        <v>13940</v>
      </c>
      <c r="F291" s="90"/>
    </row>
    <row r="292" spans="1:6" ht="15.75">
      <c r="A292" s="104">
        <v>291000</v>
      </c>
      <c r="B292" s="104">
        <f t="shared" si="12"/>
        <v>114354.21</v>
      </c>
      <c r="C292" s="99" t="s">
        <v>21</v>
      </c>
      <c r="D292" s="544">
        <v>413000</v>
      </c>
      <c r="E292" s="18">
        <v>0</v>
      </c>
      <c r="F292" s="90"/>
    </row>
    <row r="293" spans="1:6" ht="15.75">
      <c r="A293" s="104">
        <v>180000</v>
      </c>
      <c r="B293" s="104">
        <f t="shared" si="12"/>
        <v>76800</v>
      </c>
      <c r="C293" s="99" t="s">
        <v>23</v>
      </c>
      <c r="D293" s="544">
        <v>414000</v>
      </c>
      <c r="E293" s="18">
        <v>14575</v>
      </c>
      <c r="F293" s="90"/>
    </row>
    <row r="294" spans="1:6" ht="15.75">
      <c r="A294" s="104">
        <v>120000</v>
      </c>
      <c r="B294" s="104">
        <f t="shared" si="12"/>
        <v>27350</v>
      </c>
      <c r="C294" s="99" t="s">
        <v>20</v>
      </c>
      <c r="D294" s="544">
        <v>415000</v>
      </c>
      <c r="E294" s="18">
        <v>13720</v>
      </c>
      <c r="F294" s="90"/>
    </row>
    <row r="295" spans="1:6" ht="15.75">
      <c r="A295" s="104">
        <v>500</v>
      </c>
      <c r="B295" s="104">
        <f t="shared" si="12"/>
        <v>0</v>
      </c>
      <c r="C295" s="99" t="s">
        <v>125</v>
      </c>
      <c r="D295" s="544">
        <v>416000</v>
      </c>
      <c r="E295" s="18">
        <v>0</v>
      </c>
      <c r="F295" s="90"/>
    </row>
    <row r="296" spans="1:6" ht="15.75">
      <c r="A296" s="104">
        <v>12750000</v>
      </c>
      <c r="B296" s="104">
        <f t="shared" si="12"/>
        <v>2136974.4299999997</v>
      </c>
      <c r="C296" s="99" t="s">
        <v>50</v>
      </c>
      <c r="D296" s="544">
        <v>421000</v>
      </c>
      <c r="E296" s="18">
        <v>613394.68</v>
      </c>
      <c r="F296" s="90"/>
    </row>
    <row r="297" spans="1:6" ht="15.75">
      <c r="A297" s="104">
        <v>17000000</v>
      </c>
      <c r="B297" s="104">
        <f t="shared" si="12"/>
        <v>17863814</v>
      </c>
      <c r="C297" s="99" t="s">
        <v>22</v>
      </c>
      <c r="D297" s="544">
        <v>431002</v>
      </c>
      <c r="E297" s="18">
        <v>1475080</v>
      </c>
      <c r="F297" s="90"/>
    </row>
    <row r="298" spans="1:6" ht="16.5" thickBot="1">
      <c r="A298" s="89">
        <f>SUM(A290:A297)</f>
        <v>30719200</v>
      </c>
      <c r="B298" s="89">
        <f>SUM(B290:B297)</f>
        <v>20292479.39</v>
      </c>
      <c r="C298" s="99"/>
      <c r="D298" s="544"/>
      <c r="E298" s="89">
        <f>SUM(E290:E297)</f>
        <v>2151231.93</v>
      </c>
      <c r="F298" s="549"/>
    </row>
    <row r="299" spans="1:6" ht="16.5" thickTop="1">
      <c r="A299" s="100"/>
      <c r="B299" s="104">
        <f>+E299+B205</f>
        <v>0</v>
      </c>
      <c r="C299" s="99" t="s">
        <v>71</v>
      </c>
      <c r="D299" s="544">
        <v>441000</v>
      </c>
      <c r="E299" s="18">
        <v>0</v>
      </c>
      <c r="F299" s="90"/>
    </row>
    <row r="300" spans="1:6" ht="15.75">
      <c r="A300" s="93"/>
      <c r="B300" s="104">
        <f aca="true" t="shared" si="13" ref="B300:B305">+E300+B206</f>
        <v>5693520</v>
      </c>
      <c r="C300" s="99" t="s">
        <v>124</v>
      </c>
      <c r="D300" s="544">
        <v>441000</v>
      </c>
      <c r="E300" s="18">
        <v>390120</v>
      </c>
      <c r="F300" s="90"/>
    </row>
    <row r="301" spans="1:6" ht="15.75">
      <c r="A301" s="93"/>
      <c r="B301" s="104">
        <f t="shared" si="13"/>
        <v>8633.02</v>
      </c>
      <c r="C301" s="99" t="s">
        <v>26</v>
      </c>
      <c r="D301" s="544">
        <v>230102</v>
      </c>
      <c r="E301" s="18">
        <v>2959.24</v>
      </c>
      <c r="F301" s="90"/>
    </row>
    <row r="302" spans="1:6" ht="15.75">
      <c r="A302" s="17"/>
      <c r="B302" s="104">
        <f t="shared" si="13"/>
        <v>77.44000000000001</v>
      </c>
      <c r="C302" s="99" t="s">
        <v>161</v>
      </c>
      <c r="D302" s="544">
        <v>230105</v>
      </c>
      <c r="E302" s="18">
        <v>69.68</v>
      </c>
      <c r="F302" s="90"/>
    </row>
    <row r="303" spans="1:6" ht="15.75">
      <c r="A303" s="21"/>
      <c r="B303" s="104">
        <f t="shared" si="13"/>
        <v>204281</v>
      </c>
      <c r="C303" s="99" t="s">
        <v>27</v>
      </c>
      <c r="D303" s="544">
        <v>230108</v>
      </c>
      <c r="E303" s="18">
        <v>2685</v>
      </c>
      <c r="F303" s="90"/>
    </row>
    <row r="304" spans="1:6" ht="15.75">
      <c r="A304" s="21"/>
      <c r="B304" s="104">
        <f t="shared" si="13"/>
        <v>0</v>
      </c>
      <c r="C304" s="99" t="s">
        <v>353</v>
      </c>
      <c r="D304" s="544">
        <v>230109</v>
      </c>
      <c r="E304" s="18">
        <v>0</v>
      </c>
      <c r="F304" s="90"/>
    </row>
    <row r="305" spans="1:6" ht="15.75">
      <c r="A305" s="21"/>
      <c r="B305" s="104">
        <f t="shared" si="13"/>
        <v>9445.83</v>
      </c>
      <c r="C305" s="16" t="s">
        <v>88</v>
      </c>
      <c r="D305" s="544">
        <v>230110</v>
      </c>
      <c r="E305" s="18">
        <v>6297.22</v>
      </c>
      <c r="F305" s="90"/>
    </row>
    <row r="306" spans="1:6" ht="15.75">
      <c r="A306" s="21"/>
      <c r="B306" s="104">
        <f>+E306</f>
        <v>9795</v>
      </c>
      <c r="C306" s="16" t="s">
        <v>516</v>
      </c>
      <c r="D306" s="544">
        <v>230111</v>
      </c>
      <c r="E306" s="18">
        <v>9795</v>
      </c>
      <c r="F306" s="90"/>
    </row>
    <row r="307" spans="1:6" ht="15.75">
      <c r="A307" s="21"/>
      <c r="B307" s="104">
        <f aca="true" t="shared" si="14" ref="B307:B317">+E307+B212</f>
        <v>112.65</v>
      </c>
      <c r="C307" s="99" t="s">
        <v>57</v>
      </c>
      <c r="D307" s="544">
        <v>110602</v>
      </c>
      <c r="E307" s="18">
        <v>0</v>
      </c>
      <c r="F307" s="90"/>
    </row>
    <row r="308" spans="2:6" ht="15.75">
      <c r="B308" s="104">
        <f t="shared" si="14"/>
        <v>1815</v>
      </c>
      <c r="C308" s="99" t="s">
        <v>60</v>
      </c>
      <c r="D308" s="544">
        <v>110604</v>
      </c>
      <c r="E308" s="18">
        <v>0</v>
      </c>
      <c r="F308" s="90"/>
    </row>
    <row r="309" spans="2:6" ht="15.75">
      <c r="B309" s="104">
        <f t="shared" si="14"/>
        <v>0</v>
      </c>
      <c r="C309" s="99" t="s">
        <v>130</v>
      </c>
      <c r="D309" s="544">
        <v>110605</v>
      </c>
      <c r="E309" s="18">
        <v>0</v>
      </c>
      <c r="F309" s="90"/>
    </row>
    <row r="310" spans="2:6" ht="15.75">
      <c r="B310" s="104">
        <f t="shared" si="14"/>
        <v>0</v>
      </c>
      <c r="C310" s="99" t="s">
        <v>152</v>
      </c>
      <c r="D310" s="544">
        <v>110606</v>
      </c>
      <c r="E310" s="18">
        <v>0</v>
      </c>
      <c r="F310" s="90"/>
    </row>
    <row r="311" spans="2:6" ht="15.75">
      <c r="B311" s="104">
        <f t="shared" si="14"/>
        <v>0</v>
      </c>
      <c r="C311" s="16" t="s">
        <v>360</v>
      </c>
      <c r="D311" s="544">
        <v>300000</v>
      </c>
      <c r="E311" s="18">
        <v>0</v>
      </c>
      <c r="F311" s="90"/>
    </row>
    <row r="312" spans="2:6" ht="15.75">
      <c r="B312" s="104">
        <f t="shared" si="14"/>
        <v>700</v>
      </c>
      <c r="C312" s="16" t="s">
        <v>361</v>
      </c>
      <c r="D312" s="544">
        <v>441000</v>
      </c>
      <c r="E312" s="18"/>
      <c r="F312" s="90"/>
    </row>
    <row r="313" spans="2:6" ht="15.75">
      <c r="B313" s="104">
        <f t="shared" si="14"/>
        <v>0</v>
      </c>
      <c r="C313" s="16" t="s">
        <v>367</v>
      </c>
      <c r="D313" s="544">
        <v>441000</v>
      </c>
      <c r="E313" s="18">
        <v>0</v>
      </c>
      <c r="F313" s="90"/>
    </row>
    <row r="314" spans="2:6" ht="15.75">
      <c r="B314" s="104">
        <f t="shared" si="14"/>
        <v>0</v>
      </c>
      <c r="C314" s="16" t="s">
        <v>426</v>
      </c>
      <c r="D314" s="544">
        <v>441000</v>
      </c>
      <c r="E314" s="18">
        <v>0</v>
      </c>
      <c r="F314" s="90"/>
    </row>
    <row r="315" spans="2:6" ht="15.75">
      <c r="B315" s="104">
        <f t="shared" si="14"/>
        <v>1400</v>
      </c>
      <c r="C315" s="16" t="s">
        <v>606</v>
      </c>
      <c r="D315" s="544">
        <v>300000</v>
      </c>
      <c r="E315" s="18">
        <v>0</v>
      </c>
      <c r="F315" s="90"/>
    </row>
    <row r="316" spans="2:6" ht="15.75">
      <c r="B316" s="104">
        <f t="shared" si="14"/>
        <v>0</v>
      </c>
      <c r="C316" s="16" t="s">
        <v>430</v>
      </c>
      <c r="D316" s="544">
        <v>532000</v>
      </c>
      <c r="E316" s="18">
        <v>0</v>
      </c>
      <c r="F316" s="90"/>
    </row>
    <row r="317" spans="2:6" ht="15.75">
      <c r="B317" s="104">
        <f t="shared" si="14"/>
        <v>0</v>
      </c>
      <c r="C317" s="16" t="s">
        <v>313</v>
      </c>
      <c r="D317" s="544">
        <v>230200</v>
      </c>
      <c r="E317" s="18">
        <v>0</v>
      </c>
      <c r="F317" s="90"/>
    </row>
    <row r="318" spans="2:6" ht="15.75">
      <c r="B318" s="104">
        <f>+E318+B223</f>
        <v>310</v>
      </c>
      <c r="C318" s="16" t="s">
        <v>424</v>
      </c>
      <c r="D318" s="544">
        <v>522000</v>
      </c>
      <c r="E318" s="18">
        <v>0</v>
      </c>
      <c r="F318" s="90"/>
    </row>
    <row r="319" spans="2:6" ht="15.75">
      <c r="B319" s="104">
        <f>+E319+B224</f>
        <v>9960</v>
      </c>
      <c r="C319" s="16" t="s">
        <v>473</v>
      </c>
      <c r="D319" s="544">
        <v>110605</v>
      </c>
      <c r="E319" s="18">
        <v>0</v>
      </c>
      <c r="F319" s="90"/>
    </row>
    <row r="320" spans="2:6" ht="15.75">
      <c r="B320" s="104"/>
      <c r="C320" s="16"/>
      <c r="D320" s="544"/>
      <c r="E320" s="18"/>
      <c r="F320" s="90"/>
    </row>
    <row r="321" spans="2:6" ht="15.75">
      <c r="B321" s="104"/>
      <c r="C321" s="16"/>
      <c r="D321" s="544"/>
      <c r="E321" s="18"/>
      <c r="F321" s="90"/>
    </row>
    <row r="322" spans="2:6" ht="15.75">
      <c r="B322" s="104"/>
      <c r="C322" s="16"/>
      <c r="D322" s="544"/>
      <c r="E322" s="18"/>
      <c r="F322" s="90"/>
    </row>
    <row r="323" spans="2:6" ht="15.75">
      <c r="B323" s="18"/>
      <c r="C323" s="16"/>
      <c r="D323" s="98"/>
      <c r="E323" s="18"/>
      <c r="F323" s="90"/>
    </row>
    <row r="324" spans="2:6" ht="15.75">
      <c r="B324" s="10">
        <f>SUM(B299:B323)</f>
        <v>5940049.94</v>
      </c>
      <c r="C324" s="16"/>
      <c r="D324" s="17"/>
      <c r="E324" s="10">
        <f>SUM(E299:E323)</f>
        <v>411926.13999999996</v>
      </c>
      <c r="F324" s="549"/>
    </row>
    <row r="325" spans="2:6" ht="16.5" thickBot="1">
      <c r="B325" s="89">
        <f>SUM(B324+B298)</f>
        <v>26232529.330000002</v>
      </c>
      <c r="C325" s="39" t="s">
        <v>32</v>
      </c>
      <c r="D325" s="17"/>
      <c r="E325" s="89">
        <f>SUM(E298,E324)</f>
        <v>2563158.0700000003</v>
      </c>
      <c r="F325" s="549"/>
    </row>
    <row r="326" ht="16.5" thickTop="1"/>
    <row r="331" spans="1:6" ht="15.75">
      <c r="A331" s="755" t="s">
        <v>155</v>
      </c>
      <c r="B331" s="755"/>
      <c r="C331" s="96"/>
      <c r="D331" s="96"/>
      <c r="E331" s="545" t="s">
        <v>157</v>
      </c>
      <c r="F331" s="304"/>
    </row>
    <row r="332" spans="1:6" ht="15.75">
      <c r="A332" s="86" t="s">
        <v>16</v>
      </c>
      <c r="B332" s="86" t="s">
        <v>156</v>
      </c>
      <c r="C332" s="86" t="s">
        <v>0</v>
      </c>
      <c r="D332" s="86" t="s">
        <v>139</v>
      </c>
      <c r="E332" s="86" t="s">
        <v>156</v>
      </c>
      <c r="F332" s="304"/>
    </row>
    <row r="333" spans="1:6" ht="15.75">
      <c r="A333" s="97" t="s">
        <v>49</v>
      </c>
      <c r="B333" s="97" t="s">
        <v>49</v>
      </c>
      <c r="C333" s="98"/>
      <c r="D333" s="98"/>
      <c r="E333" s="97" t="s">
        <v>49</v>
      </c>
      <c r="F333" s="304"/>
    </row>
    <row r="334" spans="1:6" ht="15.75">
      <c r="A334" s="18"/>
      <c r="B334" s="18"/>
      <c r="C334" s="87" t="s">
        <v>30</v>
      </c>
      <c r="D334" s="99"/>
      <c r="E334" s="15"/>
      <c r="F334" s="90"/>
    </row>
    <row r="335" spans="1:6" ht="17.25">
      <c r="A335" s="18">
        <v>1423230</v>
      </c>
      <c r="B335" s="104">
        <f>+E335+B240</f>
        <v>581719.61</v>
      </c>
      <c r="C335" s="99" t="s">
        <v>11</v>
      </c>
      <c r="D335" s="71">
        <v>510000</v>
      </c>
      <c r="E335" s="94">
        <v>21732</v>
      </c>
      <c r="F335" s="550"/>
    </row>
    <row r="336" spans="1:6" ht="17.25">
      <c r="A336" s="18">
        <v>2624640</v>
      </c>
      <c r="B336" s="104">
        <f aca="true" t="shared" si="15" ref="B336:B347">+E336+B241</f>
        <v>864898</v>
      </c>
      <c r="C336" s="99" t="s">
        <v>162</v>
      </c>
      <c r="D336" s="71">
        <v>521000</v>
      </c>
      <c r="E336" s="85">
        <v>218720</v>
      </c>
      <c r="F336" s="167"/>
    </row>
    <row r="337" spans="1:6" ht="17.25">
      <c r="A337" s="18">
        <f>2150000+300000+76000+750000+100000+21000+350000+50000+21000</f>
        <v>3818000</v>
      </c>
      <c r="B337" s="104">
        <f t="shared" si="15"/>
        <v>1063775.16</v>
      </c>
      <c r="C337" s="99" t="s">
        <v>163</v>
      </c>
      <c r="D337" s="71">
        <v>522000</v>
      </c>
      <c r="E337" s="85">
        <v>275527.58</v>
      </c>
      <c r="F337" s="167"/>
    </row>
    <row r="338" spans="1:6" ht="17.25">
      <c r="A338" s="18">
        <f>300000+55000</f>
        <v>355000</v>
      </c>
      <c r="B338" s="104">
        <f t="shared" si="15"/>
        <v>109140</v>
      </c>
      <c r="C338" s="99" t="s">
        <v>3</v>
      </c>
      <c r="D338" s="71">
        <v>220400</v>
      </c>
      <c r="E338" s="85">
        <v>27285</v>
      </c>
      <c r="F338" s="167"/>
    </row>
    <row r="339" spans="1:6" ht="17.25">
      <c r="A339" s="18">
        <f>980000+580000+115000+70000+20000+10000+230000+120000</f>
        <v>2125000</v>
      </c>
      <c r="B339" s="104">
        <f t="shared" si="15"/>
        <v>666600</v>
      </c>
      <c r="C339" s="99" t="s">
        <v>4</v>
      </c>
      <c r="D339" s="71">
        <v>220600</v>
      </c>
      <c r="E339" s="85">
        <v>159900</v>
      </c>
      <c r="F339" s="167"/>
    </row>
    <row r="340" spans="1:6" ht="17.25">
      <c r="A340" s="18">
        <f>514000+160000+50000+10500+100000</f>
        <v>834500</v>
      </c>
      <c r="B340" s="104">
        <f t="shared" si="15"/>
        <v>106975</v>
      </c>
      <c r="C340" s="99" t="s">
        <v>5</v>
      </c>
      <c r="D340" s="71">
        <v>531000</v>
      </c>
      <c r="E340" s="85">
        <v>32940</v>
      </c>
      <c r="F340" s="167"/>
    </row>
    <row r="341" spans="1:6" ht="17.25">
      <c r="A341" s="18">
        <f>1215000+160000+170000+160000+1200630+100000+80000+50000+700000+395000+550000+420000+100000+30000+150000</f>
        <v>5480630</v>
      </c>
      <c r="B341" s="104">
        <f t="shared" si="15"/>
        <v>1451516.9</v>
      </c>
      <c r="C341" s="99" t="s">
        <v>6</v>
      </c>
      <c r="D341" s="71">
        <v>532000</v>
      </c>
      <c r="E341" s="85">
        <v>616483.75</v>
      </c>
      <c r="F341" s="167"/>
    </row>
    <row r="342" spans="1:6" ht="17.25">
      <c r="A342" s="18">
        <f>780000+100000+32500+2054500+100000+100000+180000+680000+50000+50000</f>
        <v>4127000</v>
      </c>
      <c r="B342" s="104">
        <f t="shared" si="15"/>
        <v>345921</v>
      </c>
      <c r="C342" s="99" t="s">
        <v>7</v>
      </c>
      <c r="D342" s="71">
        <v>533000</v>
      </c>
      <c r="E342" s="85">
        <v>143872</v>
      </c>
      <c r="F342" s="167"/>
    </row>
    <row r="343" spans="1:6" ht="17.25">
      <c r="A343" s="18">
        <f>460000+470000</f>
        <v>930000</v>
      </c>
      <c r="B343" s="104">
        <f t="shared" si="15"/>
        <v>236391.57</v>
      </c>
      <c r="C343" s="99" t="s">
        <v>8</v>
      </c>
      <c r="D343" s="71">
        <v>534000</v>
      </c>
      <c r="E343" s="85">
        <v>76029.56</v>
      </c>
      <c r="F343" s="167"/>
    </row>
    <row r="344" spans="1:6" ht="17.25">
      <c r="A344" s="18">
        <f>150000+148000+92000+100000</f>
        <v>490000</v>
      </c>
      <c r="B344" s="104">
        <f t="shared" si="15"/>
        <v>93630</v>
      </c>
      <c r="C344" s="99" t="s">
        <v>9</v>
      </c>
      <c r="D344" s="71">
        <v>541000</v>
      </c>
      <c r="E344" s="85">
        <v>85730</v>
      </c>
      <c r="F344" s="167"/>
    </row>
    <row r="345" spans="1:6" ht="17.25">
      <c r="A345" s="18">
        <f>743200+97100+3552900</f>
        <v>4393200</v>
      </c>
      <c r="B345" s="104">
        <f t="shared" si="15"/>
        <v>132200</v>
      </c>
      <c r="C345" s="99" t="s">
        <v>10</v>
      </c>
      <c r="D345" s="71">
        <v>542000</v>
      </c>
      <c r="E345" s="85">
        <v>33700</v>
      </c>
      <c r="F345" s="167"/>
    </row>
    <row r="346" spans="1:6" ht="17.25">
      <c r="A346" s="18">
        <f>20000+3684000+240000+30000+40000+69000+10000</f>
        <v>4093000</v>
      </c>
      <c r="B346" s="104">
        <f t="shared" si="15"/>
        <v>1933000</v>
      </c>
      <c r="C346" s="99" t="s">
        <v>13</v>
      </c>
      <c r="D346" s="544">
        <v>560000</v>
      </c>
      <c r="E346" s="85">
        <v>921000</v>
      </c>
      <c r="F346" s="167"/>
    </row>
    <row r="347" spans="1:6" ht="15.75">
      <c r="A347" s="18">
        <v>25000</v>
      </c>
      <c r="B347" s="104">
        <f t="shared" si="15"/>
        <v>0</v>
      </c>
      <c r="C347" s="99" t="s">
        <v>12</v>
      </c>
      <c r="D347" s="71">
        <v>550000</v>
      </c>
      <c r="E347" s="18">
        <v>0</v>
      </c>
      <c r="F347" s="90"/>
    </row>
    <row r="348" spans="1:6" ht="16.5" thickBot="1">
      <c r="A348" s="89">
        <f>SUM(A335:A347)</f>
        <v>30719200</v>
      </c>
      <c r="B348" s="89">
        <f>SUM(B335:B347)</f>
        <v>7585767.24</v>
      </c>
      <c r="C348" s="39"/>
      <c r="D348" s="99"/>
      <c r="E348" s="89">
        <f>SUM(E335:E347)</f>
        <v>2612919.89</v>
      </c>
      <c r="F348" s="549"/>
    </row>
    <row r="349" spans="1:6" ht="16.5" thickTop="1">
      <c r="A349" s="100"/>
      <c r="B349" s="104">
        <f>+E349+B254</f>
        <v>321800</v>
      </c>
      <c r="C349" s="99" t="s">
        <v>602</v>
      </c>
      <c r="D349" s="71">
        <v>441000</v>
      </c>
      <c r="E349" s="18">
        <f>145300+30500</f>
        <v>175800</v>
      </c>
      <c r="F349" s="90"/>
    </row>
    <row r="350" spans="1:6" ht="15.75">
      <c r="A350" s="93"/>
      <c r="B350" s="104">
        <f aca="true" t="shared" si="16" ref="B350:B364">+E350+B255</f>
        <v>0</v>
      </c>
      <c r="C350" s="99" t="s">
        <v>25</v>
      </c>
      <c r="D350" s="71">
        <v>412210</v>
      </c>
      <c r="E350" s="18">
        <v>0</v>
      </c>
      <c r="F350" s="90"/>
    </row>
    <row r="351" spans="1:6" ht="15.75">
      <c r="A351" s="93"/>
      <c r="B351" s="104">
        <f t="shared" si="16"/>
        <v>530364.33</v>
      </c>
      <c r="C351" s="99" t="s">
        <v>146</v>
      </c>
      <c r="D351" s="544">
        <v>110202</v>
      </c>
      <c r="E351" s="18"/>
      <c r="F351" s="90"/>
    </row>
    <row r="352" spans="1:6" ht="15.75">
      <c r="A352" s="93"/>
      <c r="B352" s="104">
        <f t="shared" si="16"/>
        <v>204650</v>
      </c>
      <c r="C352" s="99" t="s">
        <v>130</v>
      </c>
      <c r="D352" s="71">
        <v>110605</v>
      </c>
      <c r="E352" s="18"/>
      <c r="F352" s="90"/>
    </row>
    <row r="353" spans="1:6" ht="15.75">
      <c r="A353" s="93"/>
      <c r="B353" s="104">
        <f t="shared" si="16"/>
        <v>1348000</v>
      </c>
      <c r="C353" s="99" t="s">
        <v>440</v>
      </c>
      <c r="D353" s="71">
        <v>110609</v>
      </c>
      <c r="E353" s="18">
        <v>701600</v>
      </c>
      <c r="F353" s="90"/>
    </row>
    <row r="354" spans="1:6" ht="15.75">
      <c r="A354" s="93"/>
      <c r="B354" s="104">
        <f t="shared" si="16"/>
        <v>2240620</v>
      </c>
      <c r="C354" s="99" t="s">
        <v>152</v>
      </c>
      <c r="D354" s="544">
        <v>110606</v>
      </c>
      <c r="E354" s="18">
        <v>97440</v>
      </c>
      <c r="F354" s="90"/>
    </row>
    <row r="355" spans="1:6" ht="15.75">
      <c r="A355" s="93"/>
      <c r="B355" s="104">
        <f t="shared" si="16"/>
        <v>23292.39</v>
      </c>
      <c r="C355" s="99" t="s">
        <v>26</v>
      </c>
      <c r="D355" s="544">
        <v>230102</v>
      </c>
      <c r="E355" s="18">
        <v>1982.63</v>
      </c>
      <c r="F355" s="90"/>
    </row>
    <row r="356" spans="1:6" ht="15.75">
      <c r="A356" s="93"/>
      <c r="B356" s="104">
        <f t="shared" si="16"/>
        <v>182313</v>
      </c>
      <c r="C356" s="99" t="s">
        <v>364</v>
      </c>
      <c r="D356" s="544">
        <v>230108</v>
      </c>
      <c r="E356" s="18">
        <v>156920</v>
      </c>
      <c r="F356" s="90"/>
    </row>
    <row r="357" spans="1:6" ht="15.75">
      <c r="A357" s="93"/>
      <c r="B357" s="104">
        <f t="shared" si="16"/>
        <v>1707.67</v>
      </c>
      <c r="C357" s="99" t="s">
        <v>88</v>
      </c>
      <c r="D357" s="443">
        <v>230199</v>
      </c>
      <c r="E357" s="18">
        <v>0</v>
      </c>
      <c r="F357" s="90"/>
    </row>
    <row r="358" spans="1:6" ht="15.75">
      <c r="A358" s="93"/>
      <c r="B358" s="104">
        <f t="shared" si="16"/>
        <v>0</v>
      </c>
      <c r="C358" s="99" t="s">
        <v>420</v>
      </c>
      <c r="D358" s="443">
        <v>230199</v>
      </c>
      <c r="E358" s="18">
        <v>0</v>
      </c>
      <c r="F358" s="90"/>
    </row>
    <row r="359" spans="1:6" ht="15.75">
      <c r="A359" s="93"/>
      <c r="B359" s="104">
        <f>+E359+B264</f>
        <v>450</v>
      </c>
      <c r="C359" s="99" t="s">
        <v>516</v>
      </c>
      <c r="D359" s="443">
        <v>230199</v>
      </c>
      <c r="E359" s="18">
        <v>0</v>
      </c>
      <c r="F359" s="90"/>
    </row>
    <row r="360" spans="1:6" ht="15.75">
      <c r="A360" s="93"/>
      <c r="B360" s="104">
        <f>+E360+B265</f>
        <v>0</v>
      </c>
      <c r="C360" s="99" t="s">
        <v>59</v>
      </c>
      <c r="D360" s="443">
        <v>210500</v>
      </c>
      <c r="E360" s="18">
        <v>0</v>
      </c>
      <c r="F360" s="90"/>
    </row>
    <row r="361" spans="1:6" ht="15.75">
      <c r="A361" s="93"/>
      <c r="B361" s="104">
        <f>+E361+B266</f>
        <v>157910</v>
      </c>
      <c r="C361" s="99" t="s">
        <v>14</v>
      </c>
      <c r="D361" s="443">
        <v>210402</v>
      </c>
      <c r="E361" s="18">
        <v>0</v>
      </c>
      <c r="F361" s="90"/>
    </row>
    <row r="362" spans="1:6" ht="15.75">
      <c r="A362" s="93"/>
      <c r="B362" s="104">
        <f t="shared" si="16"/>
        <v>7704</v>
      </c>
      <c r="C362" s="99" t="s">
        <v>15</v>
      </c>
      <c r="D362" s="544">
        <v>300000</v>
      </c>
      <c r="E362" s="18">
        <v>0</v>
      </c>
      <c r="F362" s="90"/>
    </row>
    <row r="363" spans="1:6" ht="15.75">
      <c r="A363" s="93"/>
      <c r="B363" s="104">
        <f t="shared" si="16"/>
        <v>0</v>
      </c>
      <c r="C363" s="21" t="s">
        <v>532</v>
      </c>
      <c r="D363" s="544">
        <v>441000</v>
      </c>
      <c r="E363" s="18">
        <v>0</v>
      </c>
      <c r="F363" s="90"/>
    </row>
    <row r="364" spans="1:6" ht="15.75">
      <c r="A364" s="93"/>
      <c r="B364" s="104">
        <f t="shared" si="16"/>
        <v>0</v>
      </c>
      <c r="C364" s="21" t="s">
        <v>533</v>
      </c>
      <c r="D364" s="544">
        <v>441000</v>
      </c>
      <c r="E364" s="18">
        <v>0</v>
      </c>
      <c r="F364" s="90"/>
    </row>
    <row r="365" spans="1:6" ht="15.75">
      <c r="A365" s="93"/>
      <c r="B365" s="104"/>
      <c r="C365" s="21"/>
      <c r="D365" s="73"/>
      <c r="E365" s="18"/>
      <c r="F365" s="90"/>
    </row>
    <row r="366" spans="1:6" ht="15.75">
      <c r="A366" s="93"/>
      <c r="B366" s="10">
        <f>SUM(B349:B365)</f>
        <v>5018811.39</v>
      </c>
      <c r="C366" s="21"/>
      <c r="D366" s="17"/>
      <c r="E366" s="10">
        <f>SUM(E349:E365)</f>
        <v>1133742.63</v>
      </c>
      <c r="F366" s="549"/>
    </row>
    <row r="367" spans="1:6" ht="16.5" thickBot="1">
      <c r="A367" s="90"/>
      <c r="B367" s="89">
        <f>SUM(B366,B348)</f>
        <v>12604578.629999999</v>
      </c>
      <c r="C367" s="304" t="s">
        <v>31</v>
      </c>
      <c r="D367" s="17"/>
      <c r="E367" s="89">
        <f>SUM(E366,E348)</f>
        <v>3746662.52</v>
      </c>
      <c r="F367" s="549"/>
    </row>
    <row r="368" spans="2:6" ht="16.5" thickTop="1">
      <c r="B368" s="99"/>
      <c r="C368" s="543" t="s">
        <v>164</v>
      </c>
      <c r="D368" s="17"/>
      <c r="E368" s="99"/>
      <c r="F368" s="21"/>
    </row>
    <row r="369" spans="2:6" ht="15.75">
      <c r="B369" s="101"/>
      <c r="C369" s="543" t="s">
        <v>167</v>
      </c>
      <c r="D369" s="17"/>
      <c r="E369" s="101"/>
      <c r="F369" s="551"/>
    </row>
    <row r="370" spans="2:6" ht="15.75">
      <c r="B370" s="101">
        <f>SUM(B325-B367)</f>
        <v>13627950.700000003</v>
      </c>
      <c r="C370" s="543" t="s">
        <v>165</v>
      </c>
      <c r="E370" s="101">
        <f>SUM(E325-E367)</f>
        <v>-1183504.4499999997</v>
      </c>
      <c r="F370" s="551"/>
    </row>
    <row r="371" spans="2:7" ht="16.5" thickBot="1">
      <c r="B371" s="102">
        <f>SUM(B288+B325-B367)</f>
        <v>40499563.89</v>
      </c>
      <c r="C371" s="543" t="s">
        <v>166</v>
      </c>
      <c r="E371" s="102">
        <f>SUM(E288+E325-E367)</f>
        <v>40499563.889999986</v>
      </c>
      <c r="F371" s="103"/>
      <c r="G371" s="151">
        <f>+งบดุลบัญชี!AC5</f>
        <v>40499501.85000001</v>
      </c>
    </row>
    <row r="372" spans="2:7" ht="16.5" thickTop="1">
      <c r="B372" s="103"/>
      <c r="C372" s="543"/>
      <c r="E372" s="103"/>
      <c r="F372" s="103"/>
      <c r="G372" s="151">
        <f>+งบดุลบัญชี!AC4</f>
        <v>61.9</v>
      </c>
    </row>
    <row r="373" ht="15.75">
      <c r="G373" s="151">
        <f>+E371-G371-G372</f>
        <v>0.13999997675418996</v>
      </c>
    </row>
    <row r="374" spans="1:6" ht="15.75">
      <c r="A374" s="729" t="s">
        <v>642</v>
      </c>
      <c r="B374" s="729"/>
      <c r="C374" s="542" t="s">
        <v>33</v>
      </c>
      <c r="D374" s="729" t="s">
        <v>411</v>
      </c>
      <c r="E374" s="729"/>
      <c r="F374" s="542"/>
    </row>
    <row r="375" spans="1:6" ht="15.75">
      <c r="A375" s="729" t="s">
        <v>36</v>
      </c>
      <c r="B375" s="729"/>
      <c r="C375" s="542" t="s">
        <v>289</v>
      </c>
      <c r="D375" s="729" t="s">
        <v>38</v>
      </c>
      <c r="E375" s="729"/>
      <c r="F375" s="542"/>
    </row>
    <row r="376" spans="1:6" ht="15.75">
      <c r="A376" s="729"/>
      <c r="B376" s="729"/>
      <c r="D376" s="729"/>
      <c r="E376" s="729"/>
      <c r="F376" s="542"/>
    </row>
    <row r="377" spans="1:6" ht="15.75">
      <c r="A377" s="35" t="s">
        <v>29</v>
      </c>
      <c r="D377" s="95" t="s">
        <v>158</v>
      </c>
      <c r="E377" s="114" t="s">
        <v>670</v>
      </c>
      <c r="F377" s="114"/>
    </row>
    <row r="378" spans="1:6" ht="15.75">
      <c r="A378" s="741" t="s">
        <v>154</v>
      </c>
      <c r="B378" s="741"/>
      <c r="C378" s="741"/>
      <c r="D378" s="741"/>
      <c r="E378" s="741"/>
      <c r="F378" s="543"/>
    </row>
    <row r="379" spans="5:6" ht="15.75">
      <c r="E379" s="543" t="s">
        <v>603</v>
      </c>
      <c r="F379" s="543"/>
    </row>
    <row r="380" spans="1:6" ht="15.75">
      <c r="A380" s="755" t="s">
        <v>155</v>
      </c>
      <c r="B380" s="755"/>
      <c r="C380" s="96"/>
      <c r="D380" s="96"/>
      <c r="E380" s="545" t="s">
        <v>157</v>
      </c>
      <c r="F380" s="304"/>
    </row>
    <row r="381" spans="1:6" ht="15.75">
      <c r="A381" s="86" t="s">
        <v>16</v>
      </c>
      <c r="B381" s="86" t="s">
        <v>156</v>
      </c>
      <c r="C381" s="86" t="s">
        <v>0</v>
      </c>
      <c r="D381" s="86" t="s">
        <v>139</v>
      </c>
      <c r="E381" s="86" t="s">
        <v>156</v>
      </c>
      <c r="F381" s="304"/>
    </row>
    <row r="382" spans="1:6" ht="15.75">
      <c r="A382" s="97" t="s">
        <v>49</v>
      </c>
      <c r="B382" s="97" t="s">
        <v>49</v>
      </c>
      <c r="C382" s="98"/>
      <c r="D382" s="98"/>
      <c r="E382" s="97" t="s">
        <v>49</v>
      </c>
      <c r="F382" s="304"/>
    </row>
    <row r="383" spans="1:6" ht="15.75">
      <c r="A383" s="18"/>
      <c r="B383" s="19">
        <v>26871613.18999999</v>
      </c>
      <c r="C383" s="87" t="s">
        <v>159</v>
      </c>
      <c r="D383" s="99"/>
      <c r="E383" s="19">
        <f>+E371</f>
        <v>40499563.889999986</v>
      </c>
      <c r="F383" s="549"/>
    </row>
    <row r="384" spans="1:6" ht="15.75">
      <c r="A384" s="18"/>
      <c r="B384" s="18"/>
      <c r="C384" s="87" t="s">
        <v>160</v>
      </c>
      <c r="D384" s="99"/>
      <c r="E384" s="18"/>
      <c r="F384" s="90"/>
    </row>
    <row r="385" spans="1:6" ht="15.75">
      <c r="A385" s="104">
        <v>191000</v>
      </c>
      <c r="B385" s="104">
        <f aca="true" t="shared" si="17" ref="B385:B392">+B290+E385</f>
        <v>82371.48000000001</v>
      </c>
      <c r="C385" s="99" t="s">
        <v>19</v>
      </c>
      <c r="D385" s="544">
        <v>411000</v>
      </c>
      <c r="E385" s="18">
        <v>61814.73</v>
      </c>
      <c r="F385" s="90"/>
    </row>
    <row r="386" spans="1:6" ht="15.75">
      <c r="A386" s="104">
        <v>186700</v>
      </c>
      <c r="B386" s="104">
        <f t="shared" si="17"/>
        <v>71209.4</v>
      </c>
      <c r="C386" s="99" t="s">
        <v>357</v>
      </c>
      <c r="D386" s="544">
        <v>412000</v>
      </c>
      <c r="E386" s="18">
        <v>18579.4</v>
      </c>
      <c r="F386" s="90"/>
    </row>
    <row r="387" spans="1:6" ht="15.75">
      <c r="A387" s="104">
        <v>291000</v>
      </c>
      <c r="B387" s="104">
        <f t="shared" si="17"/>
        <v>114354.21</v>
      </c>
      <c r="C387" s="99" t="s">
        <v>21</v>
      </c>
      <c r="D387" s="544">
        <v>413000</v>
      </c>
      <c r="E387" s="18">
        <v>0</v>
      </c>
      <c r="F387" s="90"/>
    </row>
    <row r="388" spans="1:6" ht="15.75">
      <c r="A388" s="104">
        <v>180000</v>
      </c>
      <c r="B388" s="104">
        <f t="shared" si="17"/>
        <v>87330</v>
      </c>
      <c r="C388" s="99" t="s">
        <v>23</v>
      </c>
      <c r="D388" s="544">
        <v>414000</v>
      </c>
      <c r="E388" s="18">
        <v>10530</v>
      </c>
      <c r="F388" s="90"/>
    </row>
    <row r="389" spans="1:6" ht="15.75">
      <c r="A389" s="104">
        <v>120000</v>
      </c>
      <c r="B389" s="104">
        <f t="shared" si="17"/>
        <v>35950</v>
      </c>
      <c r="C389" s="99" t="s">
        <v>20</v>
      </c>
      <c r="D389" s="544">
        <v>415000</v>
      </c>
      <c r="E389" s="18">
        <v>8600</v>
      </c>
      <c r="F389" s="90"/>
    </row>
    <row r="390" spans="1:6" ht="15.75">
      <c r="A390" s="104">
        <v>500</v>
      </c>
      <c r="B390" s="104">
        <f t="shared" si="17"/>
        <v>0</v>
      </c>
      <c r="C390" s="99" t="s">
        <v>125</v>
      </c>
      <c r="D390" s="544">
        <v>416000</v>
      </c>
      <c r="E390" s="18">
        <v>0</v>
      </c>
      <c r="F390" s="90"/>
    </row>
    <row r="391" spans="1:6" ht="15.75">
      <c r="A391" s="104">
        <v>12750000</v>
      </c>
      <c r="B391" s="104">
        <f t="shared" si="17"/>
        <v>6818108.59</v>
      </c>
      <c r="C391" s="99" t="s">
        <v>50</v>
      </c>
      <c r="D391" s="544">
        <v>421000</v>
      </c>
      <c r="E391" s="18">
        <v>4681134.16</v>
      </c>
      <c r="F391" s="90"/>
    </row>
    <row r="392" spans="1:6" ht="15.75">
      <c r="A392" s="104">
        <v>17000000</v>
      </c>
      <c r="B392" s="104">
        <f t="shared" si="17"/>
        <v>17863814</v>
      </c>
      <c r="C392" s="99" t="s">
        <v>22</v>
      </c>
      <c r="D392" s="544">
        <v>431002</v>
      </c>
      <c r="E392" s="18">
        <v>0</v>
      </c>
      <c r="F392" s="90"/>
    </row>
    <row r="393" spans="1:6" ht="16.5" thickBot="1">
      <c r="A393" s="89">
        <f>SUM(A385:A392)</f>
        <v>30719200</v>
      </c>
      <c r="B393" s="89">
        <f>SUM(B385:B392)</f>
        <v>25073137.68</v>
      </c>
      <c r="C393" s="99"/>
      <c r="D393" s="544"/>
      <c r="E393" s="89">
        <f>SUM(E385:E392)</f>
        <v>4780658.29</v>
      </c>
      <c r="F393" s="549"/>
    </row>
    <row r="394" spans="1:6" ht="16.5" thickTop="1">
      <c r="A394" s="100"/>
      <c r="B394" s="104">
        <f>B299+E394</f>
        <v>0</v>
      </c>
      <c r="C394" s="99" t="s">
        <v>71</v>
      </c>
      <c r="D394" s="544">
        <v>441000</v>
      </c>
      <c r="E394" s="18">
        <v>0</v>
      </c>
      <c r="F394" s="90"/>
    </row>
    <row r="395" spans="1:6" ht="15.75">
      <c r="A395" s="93"/>
      <c r="B395" s="104">
        <f aca="true" t="shared" si="18" ref="B395:B401">B300+E395</f>
        <v>11067720</v>
      </c>
      <c r="C395" s="99" t="s">
        <v>124</v>
      </c>
      <c r="D395" s="544">
        <v>441000</v>
      </c>
      <c r="E395" s="18">
        <v>5374200</v>
      </c>
      <c r="F395" s="90"/>
    </row>
    <row r="396" spans="1:6" ht="15.75">
      <c r="A396" s="93"/>
      <c r="B396" s="104">
        <f t="shared" si="18"/>
        <v>12520.24</v>
      </c>
      <c r="C396" s="99" t="s">
        <v>26</v>
      </c>
      <c r="D396" s="544">
        <v>230102</v>
      </c>
      <c r="E396" s="18">
        <v>3887.22</v>
      </c>
      <c r="F396" s="90"/>
    </row>
    <row r="397" spans="1:6" ht="15.75">
      <c r="A397" s="17"/>
      <c r="B397" s="104">
        <f t="shared" si="18"/>
        <v>138.34</v>
      </c>
      <c r="C397" s="99" t="s">
        <v>161</v>
      </c>
      <c r="D397" s="544">
        <v>230105</v>
      </c>
      <c r="E397" s="18">
        <v>60.9</v>
      </c>
      <c r="F397" s="90"/>
    </row>
    <row r="398" spans="1:6" ht="15.75">
      <c r="A398" s="21"/>
      <c r="B398" s="104">
        <f t="shared" si="18"/>
        <v>452049</v>
      </c>
      <c r="C398" s="99" t="s">
        <v>27</v>
      </c>
      <c r="D398" s="544">
        <v>230108</v>
      </c>
      <c r="E398" s="18">
        <v>247768</v>
      </c>
      <c r="F398" s="90"/>
    </row>
    <row r="399" spans="1:6" ht="15.75">
      <c r="A399" s="21"/>
      <c r="B399" s="104">
        <f t="shared" si="18"/>
        <v>22510.5</v>
      </c>
      <c r="C399" s="99" t="s">
        <v>353</v>
      </c>
      <c r="D399" s="544">
        <v>230109</v>
      </c>
      <c r="E399" s="18">
        <v>22510.5</v>
      </c>
      <c r="F399" s="90"/>
    </row>
    <row r="400" spans="1:6" ht="15.75">
      <c r="A400" s="21"/>
      <c r="B400" s="104">
        <f t="shared" si="18"/>
        <v>9445.83</v>
      </c>
      <c r="C400" s="16" t="s">
        <v>88</v>
      </c>
      <c r="D400" s="544">
        <v>230110</v>
      </c>
      <c r="E400" s="18">
        <v>0</v>
      </c>
      <c r="F400" s="90"/>
    </row>
    <row r="401" spans="1:6" ht="15.75">
      <c r="A401" s="21"/>
      <c r="B401" s="104">
        <f t="shared" si="18"/>
        <v>19044</v>
      </c>
      <c r="C401" s="16" t="s">
        <v>516</v>
      </c>
      <c r="D401" s="544">
        <v>230111</v>
      </c>
      <c r="E401" s="18">
        <v>9249</v>
      </c>
      <c r="F401" s="90"/>
    </row>
    <row r="402" spans="1:6" ht="15.75">
      <c r="A402" s="21"/>
      <c r="B402" s="104">
        <f>+E402</f>
        <v>9942</v>
      </c>
      <c r="C402" s="16" t="s">
        <v>679</v>
      </c>
      <c r="D402" s="544">
        <v>230112</v>
      </c>
      <c r="E402" s="18">
        <v>9942</v>
      </c>
      <c r="F402" s="90"/>
    </row>
    <row r="403" spans="1:6" ht="15.75">
      <c r="A403" s="21"/>
      <c r="B403" s="104">
        <f aca="true" t="shared" si="19" ref="B403:B416">B307+E403</f>
        <v>181.8</v>
      </c>
      <c r="C403" s="99" t="s">
        <v>57</v>
      </c>
      <c r="D403" s="544">
        <v>110602</v>
      </c>
      <c r="E403" s="18">
        <v>69.15</v>
      </c>
      <c r="F403" s="90"/>
    </row>
    <row r="404" spans="2:6" ht="15.75">
      <c r="B404" s="104">
        <f t="shared" si="19"/>
        <v>1815</v>
      </c>
      <c r="C404" s="99" t="s">
        <v>60</v>
      </c>
      <c r="D404" s="544">
        <v>110604</v>
      </c>
      <c r="E404" s="18">
        <v>0</v>
      </c>
      <c r="F404" s="90"/>
    </row>
    <row r="405" spans="2:6" ht="15.75">
      <c r="B405" s="104">
        <f t="shared" si="19"/>
        <v>0</v>
      </c>
      <c r="C405" s="99" t="s">
        <v>130</v>
      </c>
      <c r="D405" s="544">
        <v>110605</v>
      </c>
      <c r="E405" s="18">
        <v>0</v>
      </c>
      <c r="F405" s="90"/>
    </row>
    <row r="406" spans="2:6" ht="15.75">
      <c r="B406" s="104">
        <f t="shared" si="19"/>
        <v>0</v>
      </c>
      <c r="C406" s="99" t="s">
        <v>152</v>
      </c>
      <c r="D406" s="544">
        <v>110606</v>
      </c>
      <c r="E406" s="18">
        <v>0</v>
      </c>
      <c r="F406" s="90"/>
    </row>
    <row r="407" spans="2:6" ht="15.75">
      <c r="B407" s="104">
        <f t="shared" si="19"/>
        <v>0</v>
      </c>
      <c r="C407" s="16" t="s">
        <v>360</v>
      </c>
      <c r="D407" s="544">
        <v>300000</v>
      </c>
      <c r="E407" s="18">
        <v>0</v>
      </c>
      <c r="F407" s="90"/>
    </row>
    <row r="408" spans="2:6" ht="15.75">
      <c r="B408" s="104">
        <f t="shared" si="19"/>
        <v>700</v>
      </c>
      <c r="C408" s="16" t="s">
        <v>361</v>
      </c>
      <c r="D408" s="544">
        <v>441000</v>
      </c>
      <c r="E408" s="18"/>
      <c r="F408" s="90"/>
    </row>
    <row r="409" spans="2:6" ht="15.75">
      <c r="B409" s="104">
        <f t="shared" si="19"/>
        <v>0</v>
      </c>
      <c r="C409" s="16" t="s">
        <v>367</v>
      </c>
      <c r="D409" s="544">
        <v>441000</v>
      </c>
      <c r="E409" s="18">
        <v>0</v>
      </c>
      <c r="F409" s="90"/>
    </row>
    <row r="410" spans="2:6" ht="15.75">
      <c r="B410" s="104">
        <f t="shared" si="19"/>
        <v>0</v>
      </c>
      <c r="C410" s="16" t="s">
        <v>426</v>
      </c>
      <c r="D410" s="544">
        <v>441000</v>
      </c>
      <c r="E410" s="18">
        <v>0</v>
      </c>
      <c r="F410" s="90"/>
    </row>
    <row r="411" spans="2:6" ht="15.75">
      <c r="B411" s="104">
        <f t="shared" si="19"/>
        <v>1400</v>
      </c>
      <c r="C411" s="16" t="s">
        <v>606</v>
      </c>
      <c r="D411" s="544">
        <v>300000</v>
      </c>
      <c r="E411" s="18">
        <v>0</v>
      </c>
      <c r="F411" s="90"/>
    </row>
    <row r="412" spans="2:6" ht="15.75">
      <c r="B412" s="104">
        <f t="shared" si="19"/>
        <v>0</v>
      </c>
      <c r="C412" s="16" t="s">
        <v>430</v>
      </c>
      <c r="D412" s="544">
        <v>532000</v>
      </c>
      <c r="E412" s="18">
        <v>0</v>
      </c>
      <c r="F412" s="90"/>
    </row>
    <row r="413" spans="2:6" ht="15.75">
      <c r="B413" s="104">
        <f t="shared" si="19"/>
        <v>0</v>
      </c>
      <c r="C413" s="16" t="s">
        <v>313</v>
      </c>
      <c r="D413" s="544">
        <v>230200</v>
      </c>
      <c r="E413" s="18">
        <v>0</v>
      </c>
      <c r="F413" s="90"/>
    </row>
    <row r="414" spans="2:6" ht="15.75">
      <c r="B414" s="104">
        <f t="shared" si="19"/>
        <v>310</v>
      </c>
      <c r="C414" s="16" t="s">
        <v>424</v>
      </c>
      <c r="D414" s="544">
        <v>522000</v>
      </c>
      <c r="E414" s="18">
        <v>0</v>
      </c>
      <c r="F414" s="90"/>
    </row>
    <row r="415" spans="2:6" ht="15.75">
      <c r="B415" s="104">
        <f t="shared" si="19"/>
        <v>9960</v>
      </c>
      <c r="C415" s="16" t="s">
        <v>473</v>
      </c>
      <c r="D415" s="544">
        <v>110605</v>
      </c>
      <c r="E415" s="18">
        <v>0</v>
      </c>
      <c r="F415" s="90"/>
    </row>
    <row r="416" spans="2:6" ht="15.75">
      <c r="B416" s="104">
        <f t="shared" si="19"/>
        <v>149.33</v>
      </c>
      <c r="C416" s="16" t="s">
        <v>678</v>
      </c>
      <c r="D416" s="544">
        <v>522000</v>
      </c>
      <c r="E416" s="18">
        <v>149.33</v>
      </c>
      <c r="F416" s="90"/>
    </row>
    <row r="417" spans="2:6" ht="15.75">
      <c r="B417" s="104"/>
      <c r="C417" s="16"/>
      <c r="D417" s="544"/>
      <c r="E417" s="18"/>
      <c r="F417" s="90"/>
    </row>
    <row r="418" spans="2:6" ht="15.75">
      <c r="B418" s="104"/>
      <c r="C418" s="16"/>
      <c r="D418" s="544"/>
      <c r="E418" s="18"/>
      <c r="F418" s="90"/>
    </row>
    <row r="419" spans="2:6" ht="15.75">
      <c r="B419" s="18"/>
      <c r="C419" s="16"/>
      <c r="D419" s="98"/>
      <c r="E419" s="18"/>
      <c r="F419" s="90"/>
    </row>
    <row r="420" spans="2:6" ht="15.75">
      <c r="B420" s="10">
        <f>SUM(B394:B419)</f>
        <v>11607886.040000001</v>
      </c>
      <c r="C420" s="16"/>
      <c r="D420" s="17"/>
      <c r="E420" s="10">
        <f>SUM(E394:E419)</f>
        <v>5667836.100000001</v>
      </c>
      <c r="F420" s="549"/>
    </row>
    <row r="421" spans="2:6" ht="16.5" thickBot="1">
      <c r="B421" s="89">
        <f>SUM(B420+B393)</f>
        <v>36681023.72</v>
      </c>
      <c r="C421" s="39" t="s">
        <v>32</v>
      </c>
      <c r="D421" s="17"/>
      <c r="E421" s="89">
        <f>SUM(E393,E420)</f>
        <v>10448494.39</v>
      </c>
      <c r="F421" s="549"/>
    </row>
    <row r="422" ht="16.5" thickTop="1"/>
    <row r="426" spans="7:9" ht="15.75">
      <c r="G426" s="548" t="s">
        <v>700</v>
      </c>
      <c r="H426" s="151" t="s">
        <v>701</v>
      </c>
      <c r="I426" s="556" t="s">
        <v>702</v>
      </c>
    </row>
    <row r="427" spans="1:9" ht="15.75">
      <c r="A427" s="755" t="s">
        <v>155</v>
      </c>
      <c r="B427" s="755"/>
      <c r="C427" s="96"/>
      <c r="D427" s="96"/>
      <c r="E427" s="545" t="s">
        <v>157</v>
      </c>
      <c r="F427" s="304"/>
      <c r="G427" s="151">
        <f>+B393</f>
        <v>25073137.68</v>
      </c>
      <c r="H427" s="151">
        <f>SUM(G431:G440)</f>
        <v>9542615.81</v>
      </c>
      <c r="I427" s="557">
        <f>+B444</f>
        <v>8948998.07</v>
      </c>
    </row>
    <row r="428" spans="1:9" ht="21.75" thickBot="1">
      <c r="A428" s="86" t="s">
        <v>16</v>
      </c>
      <c r="B428" s="86" t="s">
        <v>156</v>
      </c>
      <c r="C428" s="86" t="s">
        <v>0</v>
      </c>
      <c r="D428" s="86" t="s">
        <v>139</v>
      </c>
      <c r="E428" s="86" t="s">
        <v>156</v>
      </c>
      <c r="F428" s="304"/>
      <c r="H428" s="151" t="s">
        <v>318</v>
      </c>
      <c r="I428" s="558">
        <f>+G427-H427-I427</f>
        <v>6581523.799999999</v>
      </c>
    </row>
    <row r="429" spans="1:6" ht="16.5" thickTop="1">
      <c r="A429" s="97" t="s">
        <v>49</v>
      </c>
      <c r="B429" s="97" t="s">
        <v>49</v>
      </c>
      <c r="C429" s="98"/>
      <c r="D429" s="98"/>
      <c r="E429" s="97" t="s">
        <v>49</v>
      </c>
      <c r="F429" s="304"/>
    </row>
    <row r="430" spans="1:8" ht="15.75">
      <c r="A430" s="18"/>
      <c r="B430" s="18"/>
      <c r="C430" s="87" t="s">
        <v>30</v>
      </c>
      <c r="D430" s="99"/>
      <c r="E430" s="15"/>
      <c r="F430" s="90"/>
      <c r="G430" s="151" t="s">
        <v>699</v>
      </c>
      <c r="H430" s="548" t="s">
        <v>318</v>
      </c>
    </row>
    <row r="431" spans="1:8" ht="17.25">
      <c r="A431" s="18">
        <v>1423230</v>
      </c>
      <c r="B431" s="104">
        <f aca="true" t="shared" si="20" ref="B431:B443">+E431+B335</f>
        <v>596714.61</v>
      </c>
      <c r="C431" s="99" t="s">
        <v>11</v>
      </c>
      <c r="D431" s="71">
        <v>510000</v>
      </c>
      <c r="E431" s="552">
        <v>14995</v>
      </c>
      <c r="F431" s="21" t="s">
        <v>11</v>
      </c>
      <c r="G431" s="151">
        <f aca="true" t="shared" si="21" ref="G431:G440">+E431*7</f>
        <v>104965</v>
      </c>
      <c r="H431" s="151">
        <f aca="true" t="shared" si="22" ref="H431:H440">+A431-B431-G431</f>
        <v>721550.39</v>
      </c>
    </row>
    <row r="432" spans="1:8" ht="17.25">
      <c r="A432" s="18">
        <v>2624640</v>
      </c>
      <c r="B432" s="104">
        <f t="shared" si="20"/>
        <v>1083618</v>
      </c>
      <c r="C432" s="99" t="s">
        <v>162</v>
      </c>
      <c r="D432" s="71">
        <v>521000</v>
      </c>
      <c r="E432" s="553">
        <v>218720</v>
      </c>
      <c r="F432" s="21" t="s">
        <v>162</v>
      </c>
      <c r="G432" s="151">
        <f t="shared" si="21"/>
        <v>1531040</v>
      </c>
      <c r="H432" s="151">
        <f t="shared" si="22"/>
        <v>9982</v>
      </c>
    </row>
    <row r="433" spans="1:8" ht="17.25">
      <c r="A433" s="18">
        <f>2150000+300000+76000+750000+100000+21000+350000+50000+21000</f>
        <v>3818000</v>
      </c>
      <c r="B433" s="104">
        <f t="shared" si="20"/>
        <v>1704372.16</v>
      </c>
      <c r="C433" s="99" t="s">
        <v>163</v>
      </c>
      <c r="D433" s="71">
        <v>522000</v>
      </c>
      <c r="E433" s="553">
        <v>640597</v>
      </c>
      <c r="F433" s="21" t="s">
        <v>163</v>
      </c>
      <c r="G433" s="151">
        <f t="shared" si="21"/>
        <v>4484179</v>
      </c>
      <c r="H433" s="151">
        <f t="shared" si="22"/>
        <v>-2370551.16</v>
      </c>
    </row>
    <row r="434" spans="1:8" ht="17.25">
      <c r="A434" s="18">
        <f>300000+55000</f>
        <v>355000</v>
      </c>
      <c r="B434" s="104">
        <f t="shared" si="20"/>
        <v>136425</v>
      </c>
      <c r="C434" s="99" t="s">
        <v>3</v>
      </c>
      <c r="D434" s="71">
        <v>220400</v>
      </c>
      <c r="E434" s="553">
        <v>27285</v>
      </c>
      <c r="F434" s="21" t="s">
        <v>3</v>
      </c>
      <c r="G434" s="151">
        <f t="shared" si="21"/>
        <v>190995</v>
      </c>
      <c r="H434" s="151">
        <f t="shared" si="22"/>
        <v>27580</v>
      </c>
    </row>
    <row r="435" spans="1:8" ht="17.25">
      <c r="A435" s="18">
        <f>980000+580000+115000+70000+20000+10000+230000+120000</f>
        <v>2125000</v>
      </c>
      <c r="B435" s="104">
        <f t="shared" si="20"/>
        <v>815570</v>
      </c>
      <c r="C435" s="99" t="s">
        <v>4</v>
      </c>
      <c r="D435" s="71">
        <v>220600</v>
      </c>
      <c r="E435" s="553">
        <v>148970</v>
      </c>
      <c r="F435" s="21" t="s">
        <v>4</v>
      </c>
      <c r="G435" s="151">
        <f t="shared" si="21"/>
        <v>1042790</v>
      </c>
      <c r="H435" s="151">
        <f t="shared" si="22"/>
        <v>266640</v>
      </c>
    </row>
    <row r="436" spans="1:8" ht="17.25">
      <c r="A436" s="18">
        <f>514000+160000+50000+10500+100000</f>
        <v>834500</v>
      </c>
      <c r="B436" s="104">
        <f t="shared" si="20"/>
        <v>147275</v>
      </c>
      <c r="C436" s="99" t="s">
        <v>5</v>
      </c>
      <c r="D436" s="71">
        <v>531000</v>
      </c>
      <c r="E436" s="553">
        <v>40300</v>
      </c>
      <c r="F436" s="21" t="s">
        <v>5</v>
      </c>
      <c r="G436" s="151">
        <f t="shared" si="21"/>
        <v>282100</v>
      </c>
      <c r="H436" s="151">
        <f t="shared" si="22"/>
        <v>405125</v>
      </c>
    </row>
    <row r="437" spans="1:8" ht="17.25">
      <c r="A437" s="18">
        <f>1215000+160000+170000+160000+1200630+100000+80000+50000+700000+395000+550000+420000+100000+30000+150000</f>
        <v>5480630</v>
      </c>
      <c r="B437" s="104">
        <f t="shared" si="20"/>
        <v>1553344.4</v>
      </c>
      <c r="C437" s="99" t="s">
        <v>6</v>
      </c>
      <c r="D437" s="71">
        <v>532000</v>
      </c>
      <c r="E437" s="553">
        <v>101827.5</v>
      </c>
      <c r="F437" s="21" t="s">
        <v>6</v>
      </c>
      <c r="G437" s="151">
        <f t="shared" si="21"/>
        <v>712792.5</v>
      </c>
      <c r="H437" s="151">
        <f t="shared" si="22"/>
        <v>3214493.1</v>
      </c>
    </row>
    <row r="438" spans="1:8" ht="17.25">
      <c r="A438" s="18">
        <f>780000+100000+32500+2054500+100000+100000+180000+680000+50000+50000</f>
        <v>4127000</v>
      </c>
      <c r="B438" s="104">
        <f t="shared" si="20"/>
        <v>417741</v>
      </c>
      <c r="C438" s="99" t="s">
        <v>7</v>
      </c>
      <c r="D438" s="71">
        <v>533000</v>
      </c>
      <c r="E438" s="553">
        <v>71820</v>
      </c>
      <c r="F438" s="21" t="s">
        <v>7</v>
      </c>
      <c r="G438" s="151">
        <f t="shared" si="21"/>
        <v>502740</v>
      </c>
      <c r="H438" s="151">
        <f t="shared" si="22"/>
        <v>3206519</v>
      </c>
    </row>
    <row r="439" spans="1:8" ht="17.25">
      <c r="A439" s="18">
        <f>460000+470000</f>
        <v>930000</v>
      </c>
      <c r="B439" s="104">
        <f t="shared" si="20"/>
        <v>315107.9</v>
      </c>
      <c r="C439" s="99" t="s">
        <v>8</v>
      </c>
      <c r="D439" s="71">
        <v>534000</v>
      </c>
      <c r="E439" s="553">
        <v>78716.33</v>
      </c>
      <c r="F439" s="21" t="s">
        <v>8</v>
      </c>
      <c r="G439" s="151">
        <f t="shared" si="21"/>
        <v>551014.31</v>
      </c>
      <c r="H439" s="151">
        <f t="shared" si="22"/>
        <v>63877.78999999992</v>
      </c>
    </row>
    <row r="440" spans="1:8" ht="17.25">
      <c r="A440" s="18">
        <f>150000+148000+92000+100000</f>
        <v>490000</v>
      </c>
      <c r="B440" s="104">
        <f t="shared" si="20"/>
        <v>113630</v>
      </c>
      <c r="C440" s="99" t="s">
        <v>9</v>
      </c>
      <c r="D440" s="71">
        <v>541000</v>
      </c>
      <c r="E440" s="553">
        <v>20000</v>
      </c>
      <c r="F440" s="21" t="s">
        <v>9</v>
      </c>
      <c r="G440" s="151">
        <f t="shared" si="21"/>
        <v>140000</v>
      </c>
      <c r="H440" s="151">
        <f t="shared" si="22"/>
        <v>236370</v>
      </c>
    </row>
    <row r="441" spans="1:6" ht="17.25">
      <c r="A441" s="18">
        <f>743200+97100+3552900</f>
        <v>4393200</v>
      </c>
      <c r="B441" s="104">
        <f t="shared" si="20"/>
        <v>132200</v>
      </c>
      <c r="C441" s="99" t="s">
        <v>10</v>
      </c>
      <c r="D441" s="71">
        <v>542000</v>
      </c>
      <c r="E441" s="553">
        <v>0</v>
      </c>
      <c r="F441" s="21" t="s">
        <v>10</v>
      </c>
    </row>
    <row r="442" spans="1:6" ht="17.25">
      <c r="A442" s="18">
        <f>20000+3684000+240000+30000+40000+69000+10000</f>
        <v>4093000</v>
      </c>
      <c r="B442" s="104">
        <f t="shared" si="20"/>
        <v>1933000</v>
      </c>
      <c r="C442" s="99" t="s">
        <v>13</v>
      </c>
      <c r="D442" s="544">
        <v>560000</v>
      </c>
      <c r="E442" s="553">
        <v>0</v>
      </c>
      <c r="F442" s="21" t="s">
        <v>13</v>
      </c>
    </row>
    <row r="443" spans="1:6" ht="15.75">
      <c r="A443" s="18">
        <v>25000</v>
      </c>
      <c r="B443" s="104">
        <f t="shared" si="20"/>
        <v>0</v>
      </c>
      <c r="C443" s="99" t="s">
        <v>12</v>
      </c>
      <c r="D443" s="71">
        <v>550000</v>
      </c>
      <c r="E443" s="554">
        <v>0</v>
      </c>
      <c r="F443" s="21" t="s">
        <v>12</v>
      </c>
    </row>
    <row r="444" spans="1:6" ht="16.5" thickBot="1">
      <c r="A444" s="89">
        <f>SUM(A431:A443)</f>
        <v>30719200</v>
      </c>
      <c r="B444" s="89">
        <f>SUM(B431:B443)</f>
        <v>8948998.07</v>
      </c>
      <c r="C444" s="39"/>
      <c r="D444" s="99"/>
      <c r="E444" s="89">
        <f>SUM(E431:E443)</f>
        <v>1363230.83</v>
      </c>
      <c r="F444" s="549"/>
    </row>
    <row r="445" spans="1:6" ht="16.5" thickTop="1">
      <c r="A445" s="100"/>
      <c r="B445" s="104">
        <f aca="true" t="shared" si="23" ref="B445:B455">+E445+B349</f>
        <v>497100</v>
      </c>
      <c r="C445" s="99" t="s">
        <v>602</v>
      </c>
      <c r="D445" s="71">
        <v>441000</v>
      </c>
      <c r="E445" s="18">
        <f>143500+30000+1800</f>
        <v>175300</v>
      </c>
      <c r="F445" s="90"/>
    </row>
    <row r="446" spans="1:7" ht="15.75">
      <c r="A446" s="93"/>
      <c r="B446" s="104">
        <f t="shared" si="23"/>
        <v>0</v>
      </c>
      <c r="C446" s="99" t="s">
        <v>25</v>
      </c>
      <c r="D446" s="71">
        <v>412210</v>
      </c>
      <c r="E446" s="18">
        <v>0</v>
      </c>
      <c r="F446" s="90"/>
      <c r="G446" s="151" t="s">
        <v>703</v>
      </c>
    </row>
    <row r="447" spans="1:7" ht="15.75">
      <c r="A447" s="93"/>
      <c r="B447" s="104">
        <f t="shared" si="23"/>
        <v>530364.33</v>
      </c>
      <c r="C447" s="99" t="s">
        <v>146</v>
      </c>
      <c r="D447" s="544">
        <v>110202</v>
      </c>
      <c r="E447" s="18">
        <v>0</v>
      </c>
      <c r="F447" s="90" t="s">
        <v>704</v>
      </c>
      <c r="G447" s="151">
        <f>+A437+A438+A440</f>
        <v>10097630</v>
      </c>
    </row>
    <row r="448" spans="1:7" ht="15.75">
      <c r="A448" s="93"/>
      <c r="B448" s="104">
        <f t="shared" si="23"/>
        <v>204650</v>
      </c>
      <c r="C448" s="99" t="s">
        <v>130</v>
      </c>
      <c r="D448" s="71">
        <v>110605</v>
      </c>
      <c r="E448" s="18">
        <v>0</v>
      </c>
      <c r="F448" s="90" t="s">
        <v>705</v>
      </c>
      <c r="G448" s="151">
        <f>+B437+B438+B440</f>
        <v>2084715.4</v>
      </c>
    </row>
    <row r="449" spans="1:7" ht="16.5" thickBot="1">
      <c r="A449" s="93"/>
      <c r="B449" s="104">
        <f t="shared" si="23"/>
        <v>2048200</v>
      </c>
      <c r="C449" s="99" t="s">
        <v>440</v>
      </c>
      <c r="D449" s="71">
        <v>110609</v>
      </c>
      <c r="E449" s="18">
        <v>700200</v>
      </c>
      <c r="F449" s="90" t="s">
        <v>706</v>
      </c>
      <c r="G449" s="555">
        <f>+G447-G448</f>
        <v>8012914.6</v>
      </c>
    </row>
    <row r="450" spans="1:6" ht="16.5" thickTop="1">
      <c r="A450" s="93"/>
      <c r="B450" s="104">
        <f t="shared" si="23"/>
        <v>2336620</v>
      </c>
      <c r="C450" s="99" t="s">
        <v>152</v>
      </c>
      <c r="D450" s="544">
        <v>110606</v>
      </c>
      <c r="E450" s="18">
        <v>96000</v>
      </c>
      <c r="F450" s="90"/>
    </row>
    <row r="451" spans="1:7" ht="15.75">
      <c r="A451" s="93"/>
      <c r="B451" s="104">
        <f t="shared" si="23"/>
        <v>26251.629999999997</v>
      </c>
      <c r="C451" s="99" t="s">
        <v>26</v>
      </c>
      <c r="D451" s="544">
        <v>230102</v>
      </c>
      <c r="E451" s="18">
        <v>2959.24</v>
      </c>
      <c r="F451" s="90"/>
      <c r="G451" s="548" t="s">
        <v>707</v>
      </c>
    </row>
    <row r="452" spans="1:7" ht="15.75">
      <c r="A452" s="93"/>
      <c r="B452" s="104">
        <f t="shared" si="23"/>
        <v>330460</v>
      </c>
      <c r="C452" s="99" t="s">
        <v>364</v>
      </c>
      <c r="D452" s="544">
        <v>230108</v>
      </c>
      <c r="E452" s="18">
        <v>148147</v>
      </c>
      <c r="F452" s="90" t="s">
        <v>704</v>
      </c>
      <c r="G452" s="151">
        <f>+A442</f>
        <v>4093000</v>
      </c>
    </row>
    <row r="453" spans="1:7" ht="15.75">
      <c r="A453" s="93"/>
      <c r="B453" s="104">
        <f t="shared" si="23"/>
        <v>1707.67</v>
      </c>
      <c r="C453" s="99" t="s">
        <v>88</v>
      </c>
      <c r="D453" s="443">
        <v>230110</v>
      </c>
      <c r="E453" s="18">
        <v>0</v>
      </c>
      <c r="F453" s="90" t="s">
        <v>705</v>
      </c>
      <c r="G453" s="151">
        <f>+B442</f>
        <v>1933000</v>
      </c>
    </row>
    <row r="454" spans="1:7" ht="16.5" thickBot="1">
      <c r="A454" s="93"/>
      <c r="B454" s="104">
        <f t="shared" si="23"/>
        <v>22760.5</v>
      </c>
      <c r="C454" s="99" t="s">
        <v>420</v>
      </c>
      <c r="D454" s="443">
        <v>230109</v>
      </c>
      <c r="E454" s="18">
        <v>22760.5</v>
      </c>
      <c r="F454" s="90" t="s">
        <v>706</v>
      </c>
      <c r="G454" s="555">
        <f>+G452-G453</f>
        <v>2160000</v>
      </c>
    </row>
    <row r="455" spans="1:6" ht="16.5" thickTop="1">
      <c r="A455" s="93"/>
      <c r="B455" s="104">
        <f t="shared" si="23"/>
        <v>10245</v>
      </c>
      <c r="C455" s="99" t="s">
        <v>516</v>
      </c>
      <c r="D455" s="443">
        <v>230111</v>
      </c>
      <c r="E455" s="18">
        <v>9795</v>
      </c>
      <c r="F455" s="90"/>
    </row>
    <row r="456" spans="1:6" ht="15.75">
      <c r="A456" s="93"/>
      <c r="B456" s="104">
        <f>+E456</f>
        <v>9942</v>
      </c>
      <c r="C456" s="99" t="s">
        <v>679</v>
      </c>
      <c r="D456" s="443">
        <v>230112</v>
      </c>
      <c r="E456" s="18">
        <v>9942</v>
      </c>
      <c r="F456" s="90"/>
    </row>
    <row r="457" spans="1:7" ht="15.75">
      <c r="A457" s="93"/>
      <c r="B457" s="104">
        <f>+E457+B360</f>
        <v>0</v>
      </c>
      <c r="C457" s="99" t="s">
        <v>59</v>
      </c>
      <c r="D457" s="443">
        <v>210500</v>
      </c>
      <c r="E457" s="18">
        <v>0</v>
      </c>
      <c r="F457" s="90" t="s">
        <v>704</v>
      </c>
      <c r="G457" s="151">
        <f>+A441</f>
        <v>4393200</v>
      </c>
    </row>
    <row r="458" spans="1:7" ht="15.75">
      <c r="A458" s="93"/>
      <c r="B458" s="104">
        <f>+E458+B361</f>
        <v>410610</v>
      </c>
      <c r="C458" s="99" t="s">
        <v>14</v>
      </c>
      <c r="D458" s="443">
        <v>210400</v>
      </c>
      <c r="E458" s="18">
        <v>252700</v>
      </c>
      <c r="F458" s="90" t="s">
        <v>705</v>
      </c>
      <c r="G458" s="151">
        <f>+B441</f>
        <v>132200</v>
      </c>
    </row>
    <row r="459" spans="1:7" ht="16.5" thickBot="1">
      <c r="A459" s="93"/>
      <c r="B459" s="104">
        <f>+E459+B362</f>
        <v>122704</v>
      </c>
      <c r="C459" s="99" t="s">
        <v>15</v>
      </c>
      <c r="D459" s="544">
        <v>300000</v>
      </c>
      <c r="E459" s="18">
        <v>115000</v>
      </c>
      <c r="F459" s="90" t="s">
        <v>706</v>
      </c>
      <c r="G459" s="555">
        <f>+G457-G458</f>
        <v>4261000</v>
      </c>
    </row>
    <row r="460" spans="1:6" ht="16.5" thickTop="1">
      <c r="A460" s="93"/>
      <c r="B460" s="104">
        <f>+E460+B363</f>
        <v>0</v>
      </c>
      <c r="C460" s="21" t="s">
        <v>532</v>
      </c>
      <c r="D460" s="544">
        <v>441000</v>
      </c>
      <c r="E460" s="18">
        <v>0</v>
      </c>
      <c r="F460" s="90"/>
    </row>
    <row r="461" spans="1:6" ht="15.75">
      <c r="A461" s="93"/>
      <c r="B461" s="104">
        <f>+E461+B364</f>
        <v>0</v>
      </c>
      <c r="C461" s="21" t="s">
        <v>533</v>
      </c>
      <c r="D461" s="544">
        <v>441000</v>
      </c>
      <c r="E461" s="18">
        <v>0</v>
      </c>
      <c r="F461" s="90"/>
    </row>
    <row r="462" spans="1:6" ht="15.75">
      <c r="A462" s="93"/>
      <c r="B462" s="104"/>
      <c r="C462" s="21"/>
      <c r="D462" s="73"/>
      <c r="E462" s="18"/>
      <c r="F462" s="90"/>
    </row>
    <row r="463" spans="1:6" ht="15.75">
      <c r="A463" s="93"/>
      <c r="B463" s="10">
        <f>SUM(B445:B462)</f>
        <v>6551615.13</v>
      </c>
      <c r="C463" s="21"/>
      <c r="D463" s="17"/>
      <c r="E463" s="10">
        <f>SUM(E445:E462)</f>
        <v>1532803.74</v>
      </c>
      <c r="F463" s="549"/>
    </row>
    <row r="464" spans="1:6" ht="16.5" thickBot="1">
      <c r="A464" s="90"/>
      <c r="B464" s="89">
        <f>SUM(B463,B444)</f>
        <v>15500613.2</v>
      </c>
      <c r="C464" s="304" t="s">
        <v>31</v>
      </c>
      <c r="D464" s="17"/>
      <c r="E464" s="89">
        <f>SUM(E463,E444)</f>
        <v>2896034.5700000003</v>
      </c>
      <c r="F464" s="549"/>
    </row>
    <row r="465" spans="2:6" ht="16.5" thickTop="1">
      <c r="B465" s="99"/>
      <c r="C465" s="543" t="s">
        <v>164</v>
      </c>
      <c r="D465" s="17"/>
      <c r="E465" s="99"/>
      <c r="F465" s="21"/>
    </row>
    <row r="466" spans="2:6" ht="15.75">
      <c r="B466" s="101"/>
      <c r="C466" s="543" t="s">
        <v>167</v>
      </c>
      <c r="D466" s="17"/>
      <c r="E466" s="101"/>
      <c r="F466" s="551"/>
    </row>
    <row r="467" spans="2:6" ht="15.75">
      <c r="B467" s="101">
        <f>SUM(B421-B464)</f>
        <v>21180410.52</v>
      </c>
      <c r="C467" s="543" t="s">
        <v>165</v>
      </c>
      <c r="E467" s="101">
        <f>SUM(E421-E464)</f>
        <v>7552459.82</v>
      </c>
      <c r="F467" s="551"/>
    </row>
    <row r="468" spans="2:7" ht="16.5" thickBot="1">
      <c r="B468" s="102">
        <f>SUM(B383+B421-B464)</f>
        <v>48052023.70999999</v>
      </c>
      <c r="C468" s="543" t="s">
        <v>166</v>
      </c>
      <c r="E468" s="102">
        <f>SUM(E383+E421-E464)</f>
        <v>48052023.709999986</v>
      </c>
      <c r="F468" s="103"/>
      <c r="G468" s="151">
        <f>+งบดุลบัญชี!AI5</f>
        <v>48051423.57000001</v>
      </c>
    </row>
    <row r="469" spans="2:7" ht="16.5" thickTop="1">
      <c r="B469" s="103"/>
      <c r="C469" s="543"/>
      <c r="E469" s="103"/>
      <c r="F469" s="103"/>
      <c r="G469" s="151">
        <v>600</v>
      </c>
    </row>
    <row r="470" ht="15.75">
      <c r="G470" s="151">
        <f>SUM(G468:G469)</f>
        <v>48052023.57000001</v>
      </c>
    </row>
    <row r="471" spans="1:7" ht="15.75">
      <c r="A471" s="729" t="s">
        <v>642</v>
      </c>
      <c r="B471" s="729"/>
      <c r="C471" s="542" t="s">
        <v>33</v>
      </c>
      <c r="D471" s="729" t="s">
        <v>411</v>
      </c>
      <c r="E471" s="729"/>
      <c r="F471" s="542"/>
      <c r="G471" s="151">
        <f>+G470-E468</f>
        <v>-0.13999997824430466</v>
      </c>
    </row>
    <row r="472" spans="1:6" ht="15.75">
      <c r="A472" s="729" t="s">
        <v>36</v>
      </c>
      <c r="B472" s="729"/>
      <c r="C472" s="542" t="s">
        <v>289</v>
      </c>
      <c r="D472" s="729" t="s">
        <v>38</v>
      </c>
      <c r="E472" s="729"/>
      <c r="F472" s="542"/>
    </row>
    <row r="473" spans="1:6" ht="15.75">
      <c r="A473" s="729"/>
      <c r="B473" s="729"/>
      <c r="D473" s="729"/>
      <c r="E473" s="729"/>
      <c r="F473" s="542"/>
    </row>
  </sheetData>
  <sheetProtection/>
  <mergeCells count="45">
    <mergeCell ref="A472:B472"/>
    <mergeCell ref="D472:E472"/>
    <mergeCell ref="A473:B473"/>
    <mergeCell ref="D473:E473"/>
    <mergeCell ref="A376:B376"/>
    <mergeCell ref="D376:E376"/>
    <mergeCell ref="A378:E378"/>
    <mergeCell ref="A380:B380"/>
    <mergeCell ref="A427:B427"/>
    <mergeCell ref="A471:B471"/>
    <mergeCell ref="D471:E471"/>
    <mergeCell ref="A375:B375"/>
    <mergeCell ref="D375:E375"/>
    <mergeCell ref="A236:B236"/>
    <mergeCell ref="A279:B279"/>
    <mergeCell ref="D279:E279"/>
    <mergeCell ref="A280:B280"/>
    <mergeCell ref="D280:E280"/>
    <mergeCell ref="A281:B281"/>
    <mergeCell ref="D281:E281"/>
    <mergeCell ref="A283:E283"/>
    <mergeCell ref="A285:B285"/>
    <mergeCell ref="A331:B331"/>
    <mergeCell ref="A374:B374"/>
    <mergeCell ref="D374:E374"/>
    <mergeCell ref="A191:B191"/>
    <mergeCell ref="A93:B93"/>
    <mergeCell ref="D93:E93"/>
    <mergeCell ref="A95:E95"/>
    <mergeCell ref="A97:B97"/>
    <mergeCell ref="A142:B142"/>
    <mergeCell ref="A185:B185"/>
    <mergeCell ref="D185:E185"/>
    <mergeCell ref="A186:B186"/>
    <mergeCell ref="D186:E186"/>
    <mergeCell ref="A187:B187"/>
    <mergeCell ref="D187:E187"/>
    <mergeCell ref="A189:E189"/>
    <mergeCell ref="A92:B92"/>
    <mergeCell ref="D92:E92"/>
    <mergeCell ref="A2:E2"/>
    <mergeCell ref="A4:B4"/>
    <mergeCell ref="A49:B49"/>
    <mergeCell ref="A91:B91"/>
    <mergeCell ref="D91:E91"/>
  </mergeCells>
  <printOptions/>
  <pageMargins left="0.7480314960629921" right="0.5511811023622047" top="0.984251968503937" bottom="0.1968503937007874" header="0.4330708661417323" footer="0.2362204724409449"/>
  <pageSetup horizontalDpi="600" verticalDpi="600" orientation="portrait" paperSize="9" scale="56" r:id="rId1"/>
  <rowBreaks count="8" manualBreakCount="8">
    <brk id="48" max="8" man="1"/>
    <brk id="93" max="8" man="1"/>
    <brk id="141" max="8" man="1"/>
    <brk id="187" max="8" man="1"/>
    <brk id="235" max="8" man="1"/>
    <brk id="281" max="8" man="1"/>
    <brk id="330" max="8" man="1"/>
    <brk id="417" max="8" man="1"/>
  </rowBreaks>
  <colBreaks count="1" manualBreakCount="1">
    <brk id="5" max="47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X664"/>
  <sheetViews>
    <sheetView tabSelected="1" view="pageBreakPreview" zoomScaleNormal="110" zoomScaleSheetLayoutView="100" zoomScalePageLayoutView="0" workbookViewId="0" topLeftCell="L641">
      <selection activeCell="D591" sqref="D591"/>
    </sheetView>
  </sheetViews>
  <sheetFormatPr defaultColWidth="9.140625" defaultRowHeight="21" customHeight="1"/>
  <cols>
    <col min="1" max="1" width="6.140625" style="31" bestFit="1" customWidth="1"/>
    <col min="2" max="2" width="26.28125" style="31" customWidth="1"/>
    <col min="3" max="4" width="15.00390625" style="31" customWidth="1"/>
    <col min="5" max="5" width="14.00390625" style="31" customWidth="1"/>
    <col min="6" max="6" width="13.8515625" style="31" customWidth="1"/>
    <col min="7" max="7" width="14.140625" style="31" customWidth="1"/>
    <col min="8" max="8" width="15.140625" style="31" customWidth="1"/>
    <col min="9" max="9" width="14.57421875" style="31" customWidth="1"/>
    <col min="10" max="10" width="14.7109375" style="31" customWidth="1"/>
    <col min="11" max="11" width="14.28125" style="31" customWidth="1"/>
    <col min="12" max="12" width="14.421875" style="31" customWidth="1"/>
    <col min="13" max="13" width="16.00390625" style="31" customWidth="1"/>
    <col min="14" max="14" width="15.7109375" style="31" customWidth="1"/>
    <col min="15" max="16" width="16.00390625" style="31" customWidth="1"/>
    <col min="17" max="17" width="15.57421875" style="31" customWidth="1"/>
    <col min="18" max="18" width="16.00390625" style="31" customWidth="1"/>
    <col min="19" max="19" width="16.7109375" style="31" customWidth="1"/>
    <col min="20" max="20" width="16.8515625" style="31" customWidth="1"/>
    <col min="21" max="21" width="15.57421875" style="31" customWidth="1"/>
    <col min="22" max="22" width="15.28125" style="177" bestFit="1" customWidth="1"/>
    <col min="23" max="23" width="10.8515625" style="31" bestFit="1" customWidth="1"/>
    <col min="24" max="24" width="12.421875" style="31" bestFit="1" customWidth="1"/>
    <col min="25" max="16384" width="9.140625" style="31" customWidth="1"/>
  </cols>
  <sheetData>
    <row r="1" spans="1:22" s="407" customFormat="1" ht="21" customHeight="1" hidden="1">
      <c r="A1" s="788" t="s">
        <v>215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 t="s">
        <v>215</v>
      </c>
      <c r="N1" s="788"/>
      <c r="O1" s="788"/>
      <c r="P1" s="788"/>
      <c r="Q1" s="788"/>
      <c r="R1" s="788"/>
      <c r="S1" s="788"/>
      <c r="T1" s="447"/>
      <c r="U1" s="447"/>
      <c r="V1" s="448"/>
    </row>
    <row r="2" spans="1:22" s="407" customFormat="1" ht="21" customHeight="1" hidden="1">
      <c r="A2" s="789" t="s">
        <v>604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 t="s">
        <v>604</v>
      </c>
      <c r="N2" s="789"/>
      <c r="O2" s="789"/>
      <c r="P2" s="789"/>
      <c r="Q2" s="789"/>
      <c r="R2" s="789"/>
      <c r="S2" s="789"/>
      <c r="T2" s="449"/>
      <c r="U2" s="449"/>
      <c r="V2" s="448"/>
    </row>
    <row r="3" spans="1:22" s="407" customFormat="1" ht="21" customHeight="1" hidden="1">
      <c r="A3" s="785" t="s">
        <v>216</v>
      </c>
      <c r="B3" s="785"/>
      <c r="C3" s="786" t="s">
        <v>218</v>
      </c>
      <c r="D3" s="786"/>
      <c r="E3" s="450" t="s">
        <v>221</v>
      </c>
      <c r="F3" s="786" t="s">
        <v>223</v>
      </c>
      <c r="G3" s="785"/>
      <c r="H3" s="450" t="s">
        <v>237</v>
      </c>
      <c r="I3" s="450" t="s">
        <v>238</v>
      </c>
      <c r="J3" s="776" t="s">
        <v>239</v>
      </c>
      <c r="K3" s="777"/>
      <c r="L3" s="778"/>
      <c r="M3" s="451" t="s">
        <v>240</v>
      </c>
      <c r="N3" s="776" t="s">
        <v>241</v>
      </c>
      <c r="O3" s="777"/>
      <c r="P3" s="778"/>
      <c r="Q3" s="786" t="s">
        <v>242</v>
      </c>
      <c r="R3" s="785"/>
      <c r="S3" s="450" t="s">
        <v>306</v>
      </c>
      <c r="T3" s="450" t="s">
        <v>243</v>
      </c>
      <c r="U3" s="787" t="s">
        <v>17</v>
      </c>
      <c r="V3" s="448"/>
    </row>
    <row r="4" spans="1:22" s="407" customFormat="1" ht="21" customHeight="1" hidden="1">
      <c r="A4" s="785" t="s">
        <v>217</v>
      </c>
      <c r="B4" s="785"/>
      <c r="C4" s="450" t="s">
        <v>219</v>
      </c>
      <c r="D4" s="450" t="s">
        <v>220</v>
      </c>
      <c r="E4" s="450" t="s">
        <v>312</v>
      </c>
      <c r="F4" s="450" t="s">
        <v>224</v>
      </c>
      <c r="G4" s="450" t="s">
        <v>225</v>
      </c>
      <c r="H4" s="450" t="s">
        <v>227</v>
      </c>
      <c r="I4" s="450" t="s">
        <v>228</v>
      </c>
      <c r="J4" s="450" t="s">
        <v>229</v>
      </c>
      <c r="K4" s="450" t="s">
        <v>230</v>
      </c>
      <c r="L4" s="450" t="s">
        <v>431</v>
      </c>
      <c r="M4" s="451" t="s">
        <v>231</v>
      </c>
      <c r="N4" s="450" t="s">
        <v>232</v>
      </c>
      <c r="O4" s="450" t="s">
        <v>233</v>
      </c>
      <c r="P4" s="450" t="s">
        <v>314</v>
      </c>
      <c r="Q4" s="450" t="s">
        <v>234</v>
      </c>
      <c r="R4" s="450" t="s">
        <v>235</v>
      </c>
      <c r="S4" s="450" t="s">
        <v>307</v>
      </c>
      <c r="T4" s="450" t="s">
        <v>236</v>
      </c>
      <c r="U4" s="787"/>
      <c r="V4" s="448"/>
    </row>
    <row r="5" spans="1:22" s="407" customFormat="1" ht="21" customHeight="1" hidden="1">
      <c r="A5" s="783" t="s">
        <v>290</v>
      </c>
      <c r="B5" s="784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3"/>
      <c r="N5" s="452"/>
      <c r="O5" s="452"/>
      <c r="P5" s="452"/>
      <c r="Q5" s="452"/>
      <c r="R5" s="452"/>
      <c r="S5" s="452"/>
      <c r="T5" s="452"/>
      <c r="U5" s="452"/>
      <c r="V5" s="448"/>
    </row>
    <row r="6" spans="1:22" s="407" customFormat="1" ht="21" customHeight="1" hidden="1">
      <c r="A6" s="454">
        <v>110300</v>
      </c>
      <c r="B6" s="455" t="s">
        <v>244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7"/>
      <c r="N6" s="456"/>
      <c r="O6" s="456"/>
      <c r="P6" s="456"/>
      <c r="Q6" s="456"/>
      <c r="R6" s="456"/>
      <c r="S6" s="456"/>
      <c r="T6" s="456"/>
      <c r="U6" s="458">
        <f>SUM(C6:T6)</f>
        <v>0</v>
      </c>
      <c r="V6" s="448"/>
    </row>
    <row r="7" spans="1:22" s="407" customFormat="1" ht="21" customHeight="1" hidden="1">
      <c r="A7" s="454">
        <v>110700</v>
      </c>
      <c r="B7" s="455" t="s">
        <v>127</v>
      </c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7"/>
      <c r="N7" s="456"/>
      <c r="O7" s="456"/>
      <c r="P7" s="456"/>
      <c r="Q7" s="456"/>
      <c r="R7" s="456"/>
      <c r="S7" s="456"/>
      <c r="T7" s="456"/>
      <c r="U7" s="458">
        <f aca="true" t="shared" si="0" ref="U7:U12">SUM(C7:T7)</f>
        <v>0</v>
      </c>
      <c r="V7" s="448"/>
    </row>
    <row r="8" spans="1:22" s="407" customFormat="1" ht="21" customHeight="1" hidden="1">
      <c r="A8" s="454">
        <v>110800</v>
      </c>
      <c r="B8" s="455" t="s">
        <v>133</v>
      </c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7"/>
      <c r="N8" s="456"/>
      <c r="O8" s="456"/>
      <c r="P8" s="456"/>
      <c r="Q8" s="456"/>
      <c r="R8" s="456"/>
      <c r="S8" s="456"/>
      <c r="T8" s="456"/>
      <c r="U8" s="458">
        <f t="shared" si="0"/>
        <v>0</v>
      </c>
      <c r="V8" s="448"/>
    </row>
    <row r="9" spans="1:22" s="407" customFormat="1" ht="21" customHeight="1" hidden="1">
      <c r="A9" s="454">
        <v>110900</v>
      </c>
      <c r="B9" s="455" t="s">
        <v>134</v>
      </c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7"/>
      <c r="N9" s="456"/>
      <c r="O9" s="456"/>
      <c r="P9" s="456"/>
      <c r="Q9" s="456"/>
      <c r="R9" s="456"/>
      <c r="S9" s="456"/>
      <c r="T9" s="456">
        <v>7500</v>
      </c>
      <c r="U9" s="458">
        <f t="shared" si="0"/>
        <v>7500</v>
      </c>
      <c r="V9" s="448"/>
    </row>
    <row r="10" spans="1:22" s="407" customFormat="1" ht="21" customHeight="1" hidden="1">
      <c r="A10" s="454">
        <v>111000</v>
      </c>
      <c r="B10" s="455" t="s">
        <v>135</v>
      </c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7"/>
      <c r="N10" s="456"/>
      <c r="O10" s="456"/>
      <c r="P10" s="456"/>
      <c r="Q10" s="456"/>
      <c r="R10" s="456"/>
      <c r="S10" s="456"/>
      <c r="T10" s="456"/>
      <c r="U10" s="458">
        <f t="shared" si="0"/>
        <v>0</v>
      </c>
      <c r="V10" s="448"/>
    </row>
    <row r="11" spans="1:22" s="407" customFormat="1" ht="21" customHeight="1" hidden="1">
      <c r="A11" s="454">
        <v>111100</v>
      </c>
      <c r="B11" s="455" t="s">
        <v>246</v>
      </c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7"/>
      <c r="N11" s="456"/>
      <c r="O11" s="456"/>
      <c r="P11" s="456"/>
      <c r="Q11" s="456"/>
      <c r="R11" s="456"/>
      <c r="S11" s="456"/>
      <c r="T11" s="456"/>
      <c r="U11" s="458">
        <f t="shared" si="0"/>
        <v>0</v>
      </c>
      <c r="V11" s="448"/>
    </row>
    <row r="12" spans="1:22" s="407" customFormat="1" ht="21" customHeight="1" hidden="1">
      <c r="A12" s="454">
        <v>111200</v>
      </c>
      <c r="B12" s="455" t="s">
        <v>528</v>
      </c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7"/>
      <c r="N12" s="456"/>
      <c r="O12" s="456"/>
      <c r="P12" s="456"/>
      <c r="Q12" s="456"/>
      <c r="R12" s="456"/>
      <c r="S12" s="456"/>
      <c r="T12" s="456"/>
      <c r="U12" s="458">
        <f t="shared" si="0"/>
        <v>0</v>
      </c>
      <c r="V12" s="448"/>
    </row>
    <row r="13" spans="1:22" s="407" customFormat="1" ht="21" customHeight="1" hidden="1">
      <c r="A13" s="459">
        <v>120100</v>
      </c>
      <c r="B13" s="460" t="s">
        <v>245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2"/>
      <c r="N13" s="461"/>
      <c r="O13" s="461"/>
      <c r="P13" s="461"/>
      <c r="Q13" s="461"/>
      <c r="R13" s="461"/>
      <c r="S13" s="461"/>
      <c r="T13" s="461"/>
      <c r="U13" s="463">
        <f>SUM(C13:T13)</f>
        <v>0</v>
      </c>
      <c r="V13" s="448"/>
    </row>
    <row r="14" spans="1:22" s="407" customFormat="1" ht="21" customHeight="1" hidden="1">
      <c r="A14" s="779" t="s">
        <v>252</v>
      </c>
      <c r="B14" s="780"/>
      <c r="C14" s="458">
        <f>SUM(C6:C13)</f>
        <v>0</v>
      </c>
      <c r="D14" s="458">
        <f aca="true" t="shared" si="1" ref="D14:J14">SUM(D6:D13)</f>
        <v>0</v>
      </c>
      <c r="E14" s="458">
        <f t="shared" si="1"/>
        <v>0</v>
      </c>
      <c r="F14" s="458">
        <f t="shared" si="1"/>
        <v>0</v>
      </c>
      <c r="G14" s="458">
        <f t="shared" si="1"/>
        <v>0</v>
      </c>
      <c r="H14" s="458">
        <f t="shared" si="1"/>
        <v>0</v>
      </c>
      <c r="I14" s="458">
        <f t="shared" si="1"/>
        <v>0</v>
      </c>
      <c r="J14" s="458">
        <f t="shared" si="1"/>
        <v>0</v>
      </c>
      <c r="K14" s="458">
        <f>SUM(K6:K13)</f>
        <v>0</v>
      </c>
      <c r="L14" s="458">
        <f>SUM(L6:L13)</f>
        <v>0</v>
      </c>
      <c r="M14" s="464">
        <f>SUM(M6:M13)</f>
        <v>0</v>
      </c>
      <c r="N14" s="458">
        <f>SUM(N6:N13)</f>
        <v>0</v>
      </c>
      <c r="O14" s="458">
        <f>SUM(O6:O13)</f>
        <v>0</v>
      </c>
      <c r="P14" s="458"/>
      <c r="Q14" s="458">
        <f>SUM(Q6:Q13)</f>
        <v>0</v>
      </c>
      <c r="R14" s="458">
        <f>SUM(R6:R13)</f>
        <v>0</v>
      </c>
      <c r="S14" s="458">
        <f>SUM(S6:S13)</f>
        <v>0</v>
      </c>
      <c r="T14" s="458">
        <f>SUM(T6:T13)</f>
        <v>7500</v>
      </c>
      <c r="U14" s="458">
        <f>SUM(C14:T14)</f>
        <v>7500</v>
      </c>
      <c r="V14" s="448"/>
    </row>
    <row r="15" spans="1:22" s="407" customFormat="1" ht="21" customHeight="1" hidden="1">
      <c r="A15" s="781" t="s">
        <v>253</v>
      </c>
      <c r="B15" s="782"/>
      <c r="C15" s="465">
        <f>+C14</f>
        <v>0</v>
      </c>
      <c r="D15" s="465">
        <f aca="true" t="shared" si="2" ref="D15:U15">+D14</f>
        <v>0</v>
      </c>
      <c r="E15" s="465">
        <f t="shared" si="2"/>
        <v>0</v>
      </c>
      <c r="F15" s="465">
        <f t="shared" si="2"/>
        <v>0</v>
      </c>
      <c r="G15" s="465">
        <f t="shared" si="2"/>
        <v>0</v>
      </c>
      <c r="H15" s="465">
        <f t="shared" si="2"/>
        <v>0</v>
      </c>
      <c r="I15" s="465">
        <f t="shared" si="2"/>
        <v>0</v>
      </c>
      <c r="J15" s="465">
        <f t="shared" si="2"/>
        <v>0</v>
      </c>
      <c r="K15" s="465">
        <f t="shared" si="2"/>
        <v>0</v>
      </c>
      <c r="L15" s="465">
        <f t="shared" si="2"/>
        <v>0</v>
      </c>
      <c r="M15" s="466">
        <f t="shared" si="2"/>
        <v>0</v>
      </c>
      <c r="N15" s="465">
        <f t="shared" si="2"/>
        <v>0</v>
      </c>
      <c r="O15" s="465">
        <f t="shared" si="2"/>
        <v>0</v>
      </c>
      <c r="P15" s="465">
        <f t="shared" si="2"/>
        <v>0</v>
      </c>
      <c r="Q15" s="465">
        <f t="shared" si="2"/>
        <v>0</v>
      </c>
      <c r="R15" s="465">
        <f t="shared" si="2"/>
        <v>0</v>
      </c>
      <c r="S15" s="465">
        <f t="shared" si="2"/>
        <v>0</v>
      </c>
      <c r="T15" s="465">
        <f t="shared" si="2"/>
        <v>7500</v>
      </c>
      <c r="U15" s="465">
        <f t="shared" si="2"/>
        <v>7500</v>
      </c>
      <c r="V15" s="448"/>
    </row>
    <row r="16" spans="1:22" s="407" customFormat="1" ht="21" customHeight="1" hidden="1">
      <c r="A16" s="783" t="s">
        <v>291</v>
      </c>
      <c r="B16" s="784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8"/>
      <c r="N16" s="467"/>
      <c r="O16" s="467"/>
      <c r="P16" s="467"/>
      <c r="Q16" s="467"/>
      <c r="R16" s="467"/>
      <c r="S16" s="467"/>
      <c r="T16" s="467"/>
      <c r="U16" s="469">
        <f aca="true" t="shared" si="3" ref="U16:U21">SUM(C16:T16)</f>
        <v>0</v>
      </c>
      <c r="V16" s="448"/>
    </row>
    <row r="17" spans="1:22" s="407" customFormat="1" ht="21" customHeight="1" hidden="1">
      <c r="A17" s="454">
        <v>210100</v>
      </c>
      <c r="B17" s="470" t="s">
        <v>247</v>
      </c>
      <c r="C17" s="456">
        <v>57960</v>
      </c>
      <c r="D17" s="456"/>
      <c r="E17" s="456"/>
      <c r="F17" s="456"/>
      <c r="G17" s="456"/>
      <c r="H17" s="456"/>
      <c r="I17" s="456"/>
      <c r="J17" s="456"/>
      <c r="K17" s="456"/>
      <c r="L17" s="456"/>
      <c r="M17" s="457"/>
      <c r="N17" s="456"/>
      <c r="O17" s="456"/>
      <c r="P17" s="456"/>
      <c r="Q17" s="456"/>
      <c r="R17" s="456"/>
      <c r="S17" s="456"/>
      <c r="T17" s="456"/>
      <c r="U17" s="458">
        <f t="shared" si="3"/>
        <v>57960</v>
      </c>
      <c r="V17" s="448"/>
    </row>
    <row r="18" spans="1:22" s="407" customFormat="1" ht="21" customHeight="1" hidden="1">
      <c r="A18" s="454">
        <v>210200</v>
      </c>
      <c r="B18" s="470" t="s">
        <v>251</v>
      </c>
      <c r="C18" s="456">
        <v>10000</v>
      </c>
      <c r="D18" s="456"/>
      <c r="E18" s="456"/>
      <c r="F18" s="456"/>
      <c r="G18" s="456"/>
      <c r="H18" s="456"/>
      <c r="I18" s="456"/>
      <c r="J18" s="456"/>
      <c r="K18" s="456"/>
      <c r="L18" s="456"/>
      <c r="M18" s="457"/>
      <c r="N18" s="456"/>
      <c r="O18" s="456"/>
      <c r="P18" s="456"/>
      <c r="Q18" s="456"/>
      <c r="R18" s="456"/>
      <c r="S18" s="456"/>
      <c r="T18" s="456"/>
      <c r="U18" s="458">
        <f t="shared" si="3"/>
        <v>10000</v>
      </c>
      <c r="V18" s="448"/>
    </row>
    <row r="19" spans="1:22" s="407" customFormat="1" ht="21" customHeight="1" hidden="1">
      <c r="A19" s="454">
        <v>210300</v>
      </c>
      <c r="B19" s="470" t="s">
        <v>248</v>
      </c>
      <c r="C19" s="456">
        <v>10000</v>
      </c>
      <c r="D19" s="456"/>
      <c r="E19" s="456"/>
      <c r="F19" s="456"/>
      <c r="G19" s="456"/>
      <c r="H19" s="456"/>
      <c r="I19" s="456"/>
      <c r="J19" s="456"/>
      <c r="K19" s="456"/>
      <c r="L19" s="456"/>
      <c r="M19" s="457"/>
      <c r="N19" s="456"/>
      <c r="O19" s="456"/>
      <c r="P19" s="456"/>
      <c r="Q19" s="456"/>
      <c r="R19" s="456"/>
      <c r="S19" s="456"/>
      <c r="T19" s="456"/>
      <c r="U19" s="458">
        <f t="shared" si="3"/>
        <v>10000</v>
      </c>
      <c r="V19" s="448"/>
    </row>
    <row r="20" spans="1:22" s="407" customFormat="1" ht="21" customHeight="1" hidden="1">
      <c r="A20" s="454">
        <v>210400</v>
      </c>
      <c r="B20" s="470" t="s">
        <v>249</v>
      </c>
      <c r="C20" s="456">
        <v>16560</v>
      </c>
      <c r="D20" s="456"/>
      <c r="E20" s="456"/>
      <c r="F20" s="456"/>
      <c r="G20" s="456"/>
      <c r="H20" s="456"/>
      <c r="I20" s="456"/>
      <c r="J20" s="456"/>
      <c r="K20" s="456"/>
      <c r="L20" s="456"/>
      <c r="M20" s="457"/>
      <c r="N20" s="456"/>
      <c r="O20" s="456"/>
      <c r="P20" s="456"/>
      <c r="Q20" s="456"/>
      <c r="R20" s="456"/>
      <c r="S20" s="456"/>
      <c r="T20" s="456"/>
      <c r="U20" s="458">
        <f t="shared" si="3"/>
        <v>16560</v>
      </c>
      <c r="V20" s="448"/>
    </row>
    <row r="21" spans="1:22" s="407" customFormat="1" ht="21" customHeight="1" hidden="1">
      <c r="A21" s="459">
        <v>210600</v>
      </c>
      <c r="B21" s="471" t="s">
        <v>250</v>
      </c>
      <c r="C21" s="456">
        <v>114540</v>
      </c>
      <c r="D21" s="461"/>
      <c r="E21" s="461"/>
      <c r="F21" s="461"/>
      <c r="G21" s="461"/>
      <c r="H21" s="461"/>
      <c r="I21" s="461"/>
      <c r="J21" s="461"/>
      <c r="K21" s="461"/>
      <c r="L21" s="461"/>
      <c r="M21" s="462"/>
      <c r="N21" s="461"/>
      <c r="O21" s="461"/>
      <c r="P21" s="461"/>
      <c r="Q21" s="461"/>
      <c r="R21" s="461"/>
      <c r="S21" s="461"/>
      <c r="T21" s="461"/>
      <c r="U21" s="463">
        <f t="shared" si="3"/>
        <v>114540</v>
      </c>
      <c r="V21" s="448"/>
    </row>
    <row r="22" spans="1:22" s="407" customFormat="1" ht="21" customHeight="1" hidden="1">
      <c r="A22" s="779" t="s">
        <v>252</v>
      </c>
      <c r="B22" s="780"/>
      <c r="C22" s="458">
        <f>SUM(C17:C21)</f>
        <v>209060</v>
      </c>
      <c r="D22" s="458">
        <f>SUM(D16:D21)</f>
        <v>0</v>
      </c>
      <c r="E22" s="458">
        <f aca="true" t="shared" si="4" ref="E22:J22">SUM(E16:E21)</f>
        <v>0</v>
      </c>
      <c r="F22" s="458">
        <f t="shared" si="4"/>
        <v>0</v>
      </c>
      <c r="G22" s="458">
        <f t="shared" si="4"/>
        <v>0</v>
      </c>
      <c r="H22" s="458">
        <f t="shared" si="4"/>
        <v>0</v>
      </c>
      <c r="I22" s="458">
        <f t="shared" si="4"/>
        <v>0</v>
      </c>
      <c r="J22" s="458">
        <f t="shared" si="4"/>
        <v>0</v>
      </c>
      <c r="K22" s="458">
        <f>SUM(K16:K21)</f>
        <v>0</v>
      </c>
      <c r="L22" s="458">
        <f>SUM(L16:L21)</f>
        <v>0</v>
      </c>
      <c r="M22" s="464">
        <f>SUM(M16:M21)</f>
        <v>0</v>
      </c>
      <c r="N22" s="458">
        <f>SUM(N16:N21)</f>
        <v>0</v>
      </c>
      <c r="O22" s="458">
        <f>SUM(O16:O21)</f>
        <v>0</v>
      </c>
      <c r="P22" s="458"/>
      <c r="Q22" s="458">
        <f>SUM(Q16:Q21)</f>
        <v>0</v>
      </c>
      <c r="R22" s="458">
        <f>SUM(R16:R21)</f>
        <v>0</v>
      </c>
      <c r="S22" s="458">
        <f>SUM(S16:S21)</f>
        <v>0</v>
      </c>
      <c r="T22" s="458">
        <f>SUM(T16:T21)</f>
        <v>0</v>
      </c>
      <c r="U22" s="458">
        <f>SUM(C22:T22)</f>
        <v>209060</v>
      </c>
      <c r="V22" s="448"/>
    </row>
    <row r="23" spans="1:22" s="407" customFormat="1" ht="21" customHeight="1" hidden="1">
      <c r="A23" s="781" t="s">
        <v>253</v>
      </c>
      <c r="B23" s="782"/>
      <c r="C23" s="458">
        <f>+C22</f>
        <v>209060</v>
      </c>
      <c r="D23" s="458">
        <f aca="true" t="shared" si="5" ref="D23:U23">+D22</f>
        <v>0</v>
      </c>
      <c r="E23" s="458">
        <f t="shared" si="5"/>
        <v>0</v>
      </c>
      <c r="F23" s="458">
        <f t="shared" si="5"/>
        <v>0</v>
      </c>
      <c r="G23" s="458">
        <f t="shared" si="5"/>
        <v>0</v>
      </c>
      <c r="H23" s="458">
        <f t="shared" si="5"/>
        <v>0</v>
      </c>
      <c r="I23" s="458">
        <f t="shared" si="5"/>
        <v>0</v>
      </c>
      <c r="J23" s="458">
        <f t="shared" si="5"/>
        <v>0</v>
      </c>
      <c r="K23" s="458">
        <f t="shared" si="5"/>
        <v>0</v>
      </c>
      <c r="L23" s="458">
        <f t="shared" si="5"/>
        <v>0</v>
      </c>
      <c r="M23" s="464">
        <f t="shared" si="5"/>
        <v>0</v>
      </c>
      <c r="N23" s="458">
        <f t="shared" si="5"/>
        <v>0</v>
      </c>
      <c r="O23" s="458">
        <f t="shared" si="5"/>
        <v>0</v>
      </c>
      <c r="P23" s="458">
        <f t="shared" si="5"/>
        <v>0</v>
      </c>
      <c r="Q23" s="458">
        <f t="shared" si="5"/>
        <v>0</v>
      </c>
      <c r="R23" s="458">
        <f t="shared" si="5"/>
        <v>0</v>
      </c>
      <c r="S23" s="458">
        <f t="shared" si="5"/>
        <v>0</v>
      </c>
      <c r="T23" s="458">
        <f t="shared" si="5"/>
        <v>0</v>
      </c>
      <c r="U23" s="458">
        <f t="shared" si="5"/>
        <v>209060</v>
      </c>
      <c r="V23" s="448"/>
    </row>
    <row r="24" spans="1:22" s="407" customFormat="1" ht="21" customHeight="1" hidden="1">
      <c r="A24" s="783" t="s">
        <v>292</v>
      </c>
      <c r="B24" s="784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8"/>
      <c r="N24" s="467"/>
      <c r="O24" s="467"/>
      <c r="P24" s="467"/>
      <c r="Q24" s="467"/>
      <c r="R24" s="467"/>
      <c r="S24" s="467"/>
      <c r="T24" s="467"/>
      <c r="U24" s="469">
        <f aca="true" t="shared" si="6" ref="U24:U29">SUM(C24:T24)</f>
        <v>0</v>
      </c>
      <c r="V24" s="448"/>
    </row>
    <row r="25" spans="1:22" s="407" customFormat="1" ht="21" customHeight="1" hidden="1">
      <c r="A25" s="454">
        <v>220100</v>
      </c>
      <c r="B25" s="470" t="s">
        <v>254</v>
      </c>
      <c r="C25" s="456">
        <v>151909.03</v>
      </c>
      <c r="D25" s="456">
        <v>41020</v>
      </c>
      <c r="E25" s="456"/>
      <c r="F25" s="456"/>
      <c r="G25" s="456"/>
      <c r="H25" s="456"/>
      <c r="I25" s="456"/>
      <c r="J25" s="456">
        <v>30610</v>
      </c>
      <c r="K25" s="456"/>
      <c r="L25" s="456"/>
      <c r="M25" s="457"/>
      <c r="N25" s="456"/>
      <c r="O25" s="456"/>
      <c r="P25" s="456"/>
      <c r="Q25" s="456"/>
      <c r="R25" s="456"/>
      <c r="S25" s="456"/>
      <c r="T25" s="456"/>
      <c r="U25" s="458">
        <f t="shared" si="6"/>
        <v>223539.03</v>
      </c>
      <c r="V25" s="448"/>
    </row>
    <row r="26" spans="1:22" s="407" customFormat="1" ht="21" customHeight="1" hidden="1">
      <c r="A26" s="454">
        <v>220200</v>
      </c>
      <c r="B26" s="470" t="s">
        <v>255</v>
      </c>
      <c r="C26" s="456">
        <v>4843.55</v>
      </c>
      <c r="D26" s="456">
        <v>9930</v>
      </c>
      <c r="E26" s="456"/>
      <c r="F26" s="456"/>
      <c r="G26" s="456"/>
      <c r="H26" s="456"/>
      <c r="I26" s="456"/>
      <c r="J26" s="456">
        <v>4295</v>
      </c>
      <c r="K26" s="456"/>
      <c r="L26" s="456"/>
      <c r="M26" s="457"/>
      <c r="N26" s="456"/>
      <c r="O26" s="456"/>
      <c r="P26" s="456"/>
      <c r="Q26" s="456"/>
      <c r="R26" s="456"/>
      <c r="S26" s="456"/>
      <c r="T26" s="456"/>
      <c r="U26" s="458">
        <f t="shared" si="6"/>
        <v>19068.55</v>
      </c>
      <c r="V26" s="448"/>
    </row>
    <row r="27" spans="1:22" s="407" customFormat="1" ht="21" customHeight="1" hidden="1">
      <c r="A27" s="454">
        <v>220300</v>
      </c>
      <c r="B27" s="470" t="s">
        <v>256</v>
      </c>
      <c r="C27" s="456">
        <v>10500</v>
      </c>
      <c r="D27" s="456">
        <v>0</v>
      </c>
      <c r="E27" s="456"/>
      <c r="F27" s="456"/>
      <c r="G27" s="456"/>
      <c r="H27" s="456"/>
      <c r="I27" s="456"/>
      <c r="J27" s="456"/>
      <c r="K27" s="456"/>
      <c r="L27" s="456"/>
      <c r="M27" s="457"/>
      <c r="N27" s="456"/>
      <c r="O27" s="456"/>
      <c r="P27" s="456"/>
      <c r="Q27" s="456"/>
      <c r="R27" s="456"/>
      <c r="S27" s="456"/>
      <c r="T27" s="456"/>
      <c r="U27" s="458">
        <f t="shared" si="6"/>
        <v>10500</v>
      </c>
      <c r="V27" s="448"/>
    </row>
    <row r="28" spans="1:22" s="407" customFormat="1" ht="21" customHeight="1" hidden="1">
      <c r="A28" s="454">
        <v>220400</v>
      </c>
      <c r="B28" s="470" t="s">
        <v>3</v>
      </c>
      <c r="C28" s="456">
        <v>0</v>
      </c>
      <c r="D28" s="456">
        <v>23730</v>
      </c>
      <c r="E28" s="456"/>
      <c r="F28" s="456"/>
      <c r="G28" s="456"/>
      <c r="H28" s="456"/>
      <c r="I28" s="456"/>
      <c r="J28" s="456"/>
      <c r="K28" s="456"/>
      <c r="L28" s="456"/>
      <c r="M28" s="457"/>
      <c r="N28" s="456"/>
      <c r="O28" s="456"/>
      <c r="P28" s="456"/>
      <c r="Q28" s="456"/>
      <c r="R28" s="456"/>
      <c r="S28" s="456"/>
      <c r="T28" s="456"/>
      <c r="U28" s="458">
        <f t="shared" si="6"/>
        <v>23730</v>
      </c>
      <c r="V28" s="448"/>
    </row>
    <row r="29" spans="1:22" s="407" customFormat="1" ht="21" customHeight="1" hidden="1">
      <c r="A29" s="454">
        <v>220500</v>
      </c>
      <c r="B29" s="470" t="s">
        <v>257</v>
      </c>
      <c r="C29" s="456">
        <v>0</v>
      </c>
      <c r="D29" s="456">
        <v>3555</v>
      </c>
      <c r="E29" s="456"/>
      <c r="F29" s="456"/>
      <c r="G29" s="456"/>
      <c r="H29" s="456"/>
      <c r="I29" s="456"/>
      <c r="J29" s="456"/>
      <c r="K29" s="456"/>
      <c r="L29" s="456"/>
      <c r="M29" s="457"/>
      <c r="N29" s="456"/>
      <c r="O29" s="456"/>
      <c r="P29" s="456"/>
      <c r="Q29" s="456"/>
      <c r="R29" s="456"/>
      <c r="S29" s="456"/>
      <c r="T29" s="456"/>
      <c r="U29" s="458">
        <f t="shared" si="6"/>
        <v>3555</v>
      </c>
      <c r="V29" s="448"/>
    </row>
    <row r="30" spans="1:22" s="407" customFormat="1" ht="21" customHeight="1" hidden="1">
      <c r="A30" s="785" t="s">
        <v>216</v>
      </c>
      <c r="B30" s="785"/>
      <c r="C30" s="786" t="s">
        <v>218</v>
      </c>
      <c r="D30" s="786"/>
      <c r="E30" s="450" t="s">
        <v>221</v>
      </c>
      <c r="F30" s="786" t="s">
        <v>223</v>
      </c>
      <c r="G30" s="785"/>
      <c r="H30" s="450" t="s">
        <v>237</v>
      </c>
      <c r="I30" s="450" t="s">
        <v>238</v>
      </c>
      <c r="J30" s="776" t="s">
        <v>239</v>
      </c>
      <c r="K30" s="777"/>
      <c r="L30" s="778"/>
      <c r="M30" s="451" t="s">
        <v>240</v>
      </c>
      <c r="N30" s="776" t="s">
        <v>241</v>
      </c>
      <c r="O30" s="777"/>
      <c r="P30" s="778"/>
      <c r="Q30" s="786" t="s">
        <v>242</v>
      </c>
      <c r="R30" s="785"/>
      <c r="S30" s="450" t="s">
        <v>306</v>
      </c>
      <c r="T30" s="450" t="s">
        <v>243</v>
      </c>
      <c r="U30" s="787" t="s">
        <v>17</v>
      </c>
      <c r="V30" s="448"/>
    </row>
    <row r="31" spans="1:22" s="407" customFormat="1" ht="21" customHeight="1" hidden="1">
      <c r="A31" s="785" t="s">
        <v>217</v>
      </c>
      <c r="B31" s="785"/>
      <c r="C31" s="450" t="s">
        <v>219</v>
      </c>
      <c r="D31" s="450" t="s">
        <v>220</v>
      </c>
      <c r="E31" s="450" t="s">
        <v>312</v>
      </c>
      <c r="F31" s="450" t="s">
        <v>224</v>
      </c>
      <c r="G31" s="450" t="s">
        <v>225</v>
      </c>
      <c r="H31" s="450" t="s">
        <v>227</v>
      </c>
      <c r="I31" s="450" t="s">
        <v>228</v>
      </c>
      <c r="J31" s="450" t="s">
        <v>229</v>
      </c>
      <c r="K31" s="450" t="s">
        <v>230</v>
      </c>
      <c r="L31" s="450" t="s">
        <v>431</v>
      </c>
      <c r="M31" s="451" t="s">
        <v>231</v>
      </c>
      <c r="N31" s="450" t="s">
        <v>232</v>
      </c>
      <c r="O31" s="450" t="s">
        <v>233</v>
      </c>
      <c r="P31" s="450" t="s">
        <v>314</v>
      </c>
      <c r="Q31" s="450" t="s">
        <v>234</v>
      </c>
      <c r="R31" s="450" t="s">
        <v>235</v>
      </c>
      <c r="S31" s="450" t="s">
        <v>307</v>
      </c>
      <c r="T31" s="450" t="s">
        <v>236</v>
      </c>
      <c r="U31" s="787"/>
      <c r="V31" s="448"/>
    </row>
    <row r="32" spans="1:22" s="407" customFormat="1" ht="21" customHeight="1" hidden="1">
      <c r="A32" s="454">
        <v>220600</v>
      </c>
      <c r="B32" s="470" t="s">
        <v>258</v>
      </c>
      <c r="C32" s="456">
        <f>79490+6050</f>
        <v>85540</v>
      </c>
      <c r="D32" s="456">
        <v>9140</v>
      </c>
      <c r="E32" s="456"/>
      <c r="F32" s="456"/>
      <c r="G32" s="456"/>
      <c r="H32" s="456"/>
      <c r="I32" s="456"/>
      <c r="J32" s="456">
        <v>17210</v>
      </c>
      <c r="K32" s="456"/>
      <c r="L32" s="456"/>
      <c r="M32" s="457"/>
      <c r="N32" s="456"/>
      <c r="O32" s="456"/>
      <c r="P32" s="456"/>
      <c r="Q32" s="456"/>
      <c r="R32" s="456"/>
      <c r="S32" s="456"/>
      <c r="T32" s="456"/>
      <c r="U32" s="458">
        <f>SUM(C32:T32)</f>
        <v>111890</v>
      </c>
      <c r="V32" s="448"/>
    </row>
    <row r="33" spans="1:22" s="407" customFormat="1" ht="21" customHeight="1" hidden="1">
      <c r="A33" s="459">
        <v>220700</v>
      </c>
      <c r="B33" s="471" t="s">
        <v>259</v>
      </c>
      <c r="C33" s="456">
        <f>46510+2950</f>
        <v>49460</v>
      </c>
      <c r="D33" s="461">
        <v>5860</v>
      </c>
      <c r="E33" s="461"/>
      <c r="F33" s="461">
        <v>900</v>
      </c>
      <c r="G33" s="461"/>
      <c r="H33" s="461"/>
      <c r="I33" s="461"/>
      <c r="J33" s="456">
        <v>9790</v>
      </c>
      <c r="K33" s="461"/>
      <c r="L33" s="461"/>
      <c r="M33" s="462"/>
      <c r="N33" s="461"/>
      <c r="O33" s="461"/>
      <c r="P33" s="461"/>
      <c r="Q33" s="461"/>
      <c r="R33" s="461"/>
      <c r="S33" s="461"/>
      <c r="T33" s="461"/>
      <c r="U33" s="463">
        <f>SUM(C33:T33)</f>
        <v>66010</v>
      </c>
      <c r="V33" s="448"/>
    </row>
    <row r="34" spans="1:22" s="407" customFormat="1" ht="21" customHeight="1" hidden="1">
      <c r="A34" s="779" t="s">
        <v>252</v>
      </c>
      <c r="B34" s="780"/>
      <c r="C34" s="458">
        <f>SUM(C24:C33)</f>
        <v>302252.57999999996</v>
      </c>
      <c r="D34" s="458">
        <f>SUM(D24:D33)</f>
        <v>93235</v>
      </c>
      <c r="E34" s="458">
        <f>SUM(E24:E33)</f>
        <v>0</v>
      </c>
      <c r="F34" s="458">
        <f>SUM(F24:F33)</f>
        <v>900</v>
      </c>
      <c r="G34" s="458">
        <f>SUM(G24:G33)</f>
        <v>0</v>
      </c>
      <c r="H34" s="458">
        <f>SUM(H24:H33)</f>
        <v>0</v>
      </c>
      <c r="I34" s="458">
        <f>SUM(I24:I33)</f>
        <v>0</v>
      </c>
      <c r="J34" s="458">
        <f>SUM(J24:J33)</f>
        <v>61905</v>
      </c>
      <c r="K34" s="458">
        <f>SUM(K24:K33)</f>
        <v>0</v>
      </c>
      <c r="L34" s="458">
        <f>SUM(L24:L33)</f>
        <v>0</v>
      </c>
      <c r="M34" s="464">
        <f>SUM(M24:M33)</f>
        <v>0</v>
      </c>
      <c r="N34" s="458">
        <f>SUM(N24:N33)</f>
        <v>0</v>
      </c>
      <c r="O34" s="458">
        <f>SUM(O24:O33)</f>
        <v>0</v>
      </c>
      <c r="P34" s="458"/>
      <c r="Q34" s="458">
        <f>SUM(Q24:Q33)</f>
        <v>0</v>
      </c>
      <c r="R34" s="458">
        <f>SUM(R24:R33)</f>
        <v>0</v>
      </c>
      <c r="S34" s="458">
        <f>SUM(S24:S33)</f>
        <v>0</v>
      </c>
      <c r="T34" s="458">
        <f>SUM(T24:T33)</f>
        <v>0</v>
      </c>
      <c r="U34" s="458">
        <f>SUM(C34:T34)</f>
        <v>458292.57999999996</v>
      </c>
      <c r="V34" s="448">
        <f>254036.67+27285+168450</f>
        <v>449771.67000000004</v>
      </c>
    </row>
    <row r="35" spans="1:22" s="407" customFormat="1" ht="21" customHeight="1" hidden="1">
      <c r="A35" s="781" t="s">
        <v>253</v>
      </c>
      <c r="B35" s="782"/>
      <c r="C35" s="465">
        <f>+C34</f>
        <v>302252.57999999996</v>
      </c>
      <c r="D35" s="465">
        <f aca="true" t="shared" si="7" ref="D35:U35">+D34</f>
        <v>93235</v>
      </c>
      <c r="E35" s="465">
        <f t="shared" si="7"/>
        <v>0</v>
      </c>
      <c r="F35" s="465">
        <f t="shared" si="7"/>
        <v>900</v>
      </c>
      <c r="G35" s="465">
        <f t="shared" si="7"/>
        <v>0</v>
      </c>
      <c r="H35" s="465">
        <f t="shared" si="7"/>
        <v>0</v>
      </c>
      <c r="I35" s="465">
        <f t="shared" si="7"/>
        <v>0</v>
      </c>
      <c r="J35" s="465">
        <f t="shared" si="7"/>
        <v>61905</v>
      </c>
      <c r="K35" s="465">
        <f t="shared" si="7"/>
        <v>0</v>
      </c>
      <c r="L35" s="465">
        <f t="shared" si="7"/>
        <v>0</v>
      </c>
      <c r="M35" s="466">
        <f t="shared" si="7"/>
        <v>0</v>
      </c>
      <c r="N35" s="465">
        <f t="shared" si="7"/>
        <v>0</v>
      </c>
      <c r="O35" s="465">
        <f t="shared" si="7"/>
        <v>0</v>
      </c>
      <c r="P35" s="465">
        <f t="shared" si="7"/>
        <v>0</v>
      </c>
      <c r="Q35" s="465">
        <f t="shared" si="7"/>
        <v>0</v>
      </c>
      <c r="R35" s="465">
        <f t="shared" si="7"/>
        <v>0</v>
      </c>
      <c r="S35" s="465">
        <f t="shared" si="7"/>
        <v>0</v>
      </c>
      <c r="T35" s="465">
        <f t="shared" si="7"/>
        <v>0</v>
      </c>
      <c r="U35" s="465">
        <f t="shared" si="7"/>
        <v>458292.57999999996</v>
      </c>
      <c r="V35" s="448"/>
    </row>
    <row r="36" spans="1:22" s="407" customFormat="1" ht="21" customHeight="1" hidden="1">
      <c r="A36" s="783" t="s">
        <v>293</v>
      </c>
      <c r="B36" s="784"/>
      <c r="C36" s="467"/>
      <c r="D36" s="467"/>
      <c r="E36" s="467"/>
      <c r="F36" s="467"/>
      <c r="G36" s="467"/>
      <c r="H36" s="467"/>
      <c r="I36" s="467"/>
      <c r="J36" s="467"/>
      <c r="K36" s="467"/>
      <c r="L36" s="467"/>
      <c r="M36" s="468"/>
      <c r="N36" s="467"/>
      <c r="O36" s="467"/>
      <c r="P36" s="467"/>
      <c r="Q36" s="467"/>
      <c r="R36" s="467"/>
      <c r="S36" s="467"/>
      <c r="T36" s="467"/>
      <c r="U36" s="469">
        <f aca="true" t="shared" si="8" ref="U36:U42">SUM(C36:T36)</f>
        <v>0</v>
      </c>
      <c r="V36" s="448"/>
    </row>
    <row r="37" spans="1:22" s="407" customFormat="1" ht="21" customHeight="1" hidden="1">
      <c r="A37" s="454">
        <v>310100</v>
      </c>
      <c r="B37" s="470" t="s">
        <v>260</v>
      </c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7"/>
      <c r="N37" s="456"/>
      <c r="O37" s="456"/>
      <c r="P37" s="456"/>
      <c r="Q37" s="456"/>
      <c r="R37" s="456"/>
      <c r="S37" s="456"/>
      <c r="T37" s="456"/>
      <c r="U37" s="458">
        <f t="shared" si="8"/>
        <v>0</v>
      </c>
      <c r="V37" s="448"/>
    </row>
    <row r="38" spans="1:22" s="407" customFormat="1" ht="21" customHeight="1" hidden="1">
      <c r="A38" s="454">
        <v>310200</v>
      </c>
      <c r="B38" s="470" t="s">
        <v>261</v>
      </c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7"/>
      <c r="N38" s="456"/>
      <c r="O38" s="456"/>
      <c r="P38" s="456"/>
      <c r="Q38" s="456"/>
      <c r="R38" s="456"/>
      <c r="S38" s="456"/>
      <c r="T38" s="456"/>
      <c r="U38" s="458">
        <f t="shared" si="8"/>
        <v>0</v>
      </c>
      <c r="V38" s="448"/>
    </row>
    <row r="39" spans="1:22" s="407" customFormat="1" ht="21" customHeight="1" hidden="1">
      <c r="A39" s="454">
        <v>310300</v>
      </c>
      <c r="B39" s="470" t="s">
        <v>262</v>
      </c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7"/>
      <c r="N39" s="456"/>
      <c r="O39" s="456"/>
      <c r="P39" s="456"/>
      <c r="Q39" s="456"/>
      <c r="R39" s="456"/>
      <c r="S39" s="456"/>
      <c r="T39" s="456"/>
      <c r="U39" s="458">
        <f t="shared" si="8"/>
        <v>0</v>
      </c>
      <c r="V39" s="448"/>
    </row>
    <row r="40" spans="1:22" s="407" customFormat="1" ht="21" customHeight="1" hidden="1">
      <c r="A40" s="454">
        <v>310400</v>
      </c>
      <c r="B40" s="470" t="s">
        <v>263</v>
      </c>
      <c r="C40" s="456">
        <v>11450</v>
      </c>
      <c r="D40" s="456">
        <v>2850</v>
      </c>
      <c r="E40" s="456"/>
      <c r="F40" s="456"/>
      <c r="G40" s="456"/>
      <c r="H40" s="456"/>
      <c r="I40" s="456"/>
      <c r="J40" s="456">
        <v>1600</v>
      </c>
      <c r="K40" s="456"/>
      <c r="L40" s="456"/>
      <c r="M40" s="457"/>
      <c r="N40" s="456"/>
      <c r="O40" s="456"/>
      <c r="P40" s="456"/>
      <c r="Q40" s="456"/>
      <c r="R40" s="456"/>
      <c r="S40" s="456"/>
      <c r="T40" s="456"/>
      <c r="U40" s="458">
        <f t="shared" si="8"/>
        <v>15900</v>
      </c>
      <c r="V40" s="448"/>
    </row>
    <row r="41" spans="1:22" s="407" customFormat="1" ht="21" customHeight="1" hidden="1">
      <c r="A41" s="454">
        <v>310500</v>
      </c>
      <c r="B41" s="470" t="s">
        <v>264</v>
      </c>
      <c r="C41" s="456">
        <v>0</v>
      </c>
      <c r="D41" s="456"/>
      <c r="E41" s="456"/>
      <c r="F41" s="456"/>
      <c r="G41" s="456"/>
      <c r="H41" s="456"/>
      <c r="I41" s="456"/>
      <c r="J41" s="456"/>
      <c r="K41" s="456"/>
      <c r="L41" s="456"/>
      <c r="M41" s="457"/>
      <c r="N41" s="456"/>
      <c r="O41" s="456"/>
      <c r="P41" s="456"/>
      <c r="Q41" s="456"/>
      <c r="R41" s="456"/>
      <c r="S41" s="456"/>
      <c r="T41" s="456"/>
      <c r="U41" s="458">
        <f t="shared" si="8"/>
        <v>0</v>
      </c>
      <c r="V41" s="448"/>
    </row>
    <row r="42" spans="1:22" s="407" customFormat="1" ht="21" customHeight="1" hidden="1">
      <c r="A42" s="459">
        <v>310600</v>
      </c>
      <c r="B42" s="471" t="s">
        <v>265</v>
      </c>
      <c r="C42" s="456">
        <f>1050+6158</f>
        <v>7208</v>
      </c>
      <c r="D42" s="456">
        <f>11095+7200+1580</f>
        <v>19875</v>
      </c>
      <c r="E42" s="461"/>
      <c r="F42" s="461"/>
      <c r="G42" s="461"/>
      <c r="H42" s="461"/>
      <c r="I42" s="461"/>
      <c r="J42" s="461"/>
      <c r="K42" s="461"/>
      <c r="L42" s="461"/>
      <c r="M42" s="462"/>
      <c r="N42" s="461"/>
      <c r="O42" s="461"/>
      <c r="P42" s="461"/>
      <c r="Q42" s="461"/>
      <c r="R42" s="461"/>
      <c r="S42" s="461"/>
      <c r="T42" s="461"/>
      <c r="U42" s="463">
        <f t="shared" si="8"/>
        <v>27083</v>
      </c>
      <c r="V42" s="448"/>
    </row>
    <row r="43" spans="1:22" s="407" customFormat="1" ht="21" customHeight="1" hidden="1">
      <c r="A43" s="779" t="s">
        <v>252</v>
      </c>
      <c r="B43" s="780"/>
      <c r="C43" s="458">
        <f>SUM(C37:C42)</f>
        <v>18658</v>
      </c>
      <c r="D43" s="458">
        <f aca="true" t="shared" si="9" ref="D43:L43">SUM(D37:D42)</f>
        <v>22725</v>
      </c>
      <c r="E43" s="458">
        <f t="shared" si="9"/>
        <v>0</v>
      </c>
      <c r="F43" s="458">
        <f t="shared" si="9"/>
        <v>0</v>
      </c>
      <c r="G43" s="458">
        <f t="shared" si="9"/>
        <v>0</v>
      </c>
      <c r="H43" s="458">
        <f t="shared" si="9"/>
        <v>0</v>
      </c>
      <c r="I43" s="458">
        <f t="shared" si="9"/>
        <v>0</v>
      </c>
      <c r="J43" s="458">
        <f t="shared" si="9"/>
        <v>1600</v>
      </c>
      <c r="K43" s="458">
        <f t="shared" si="9"/>
        <v>0</v>
      </c>
      <c r="L43" s="458">
        <f t="shared" si="9"/>
        <v>0</v>
      </c>
      <c r="M43" s="464">
        <f>SUM(M37:M42)</f>
        <v>0</v>
      </c>
      <c r="N43" s="458">
        <f>SUM(N37:N42)</f>
        <v>0</v>
      </c>
      <c r="O43" s="458">
        <f>SUM(O37:O42)</f>
        <v>0</v>
      </c>
      <c r="P43" s="458"/>
      <c r="Q43" s="458">
        <f>SUM(Q37:Q42)</f>
        <v>0</v>
      </c>
      <c r="R43" s="458">
        <f>SUM(R37:R42)</f>
        <v>0</v>
      </c>
      <c r="S43" s="458"/>
      <c r="T43" s="458">
        <f>SUM(T37:T42)</f>
        <v>0</v>
      </c>
      <c r="U43" s="458">
        <f>SUM(C43:T43)</f>
        <v>42983</v>
      </c>
      <c r="V43" s="448"/>
    </row>
    <row r="44" spans="1:22" s="407" customFormat="1" ht="21" customHeight="1" hidden="1">
      <c r="A44" s="781" t="s">
        <v>253</v>
      </c>
      <c r="B44" s="782"/>
      <c r="C44" s="465">
        <f>+C43</f>
        <v>18658</v>
      </c>
      <c r="D44" s="465">
        <f aca="true" t="shared" si="10" ref="D44:U44">+D43</f>
        <v>22725</v>
      </c>
      <c r="E44" s="465">
        <f t="shared" si="10"/>
        <v>0</v>
      </c>
      <c r="F44" s="465">
        <f t="shared" si="10"/>
        <v>0</v>
      </c>
      <c r="G44" s="465">
        <f t="shared" si="10"/>
        <v>0</v>
      </c>
      <c r="H44" s="465">
        <f t="shared" si="10"/>
        <v>0</v>
      </c>
      <c r="I44" s="465">
        <f t="shared" si="10"/>
        <v>0</v>
      </c>
      <c r="J44" s="465">
        <f t="shared" si="10"/>
        <v>1600</v>
      </c>
      <c r="K44" s="465">
        <f t="shared" si="10"/>
        <v>0</v>
      </c>
      <c r="L44" s="465">
        <f t="shared" si="10"/>
        <v>0</v>
      </c>
      <c r="M44" s="466">
        <f t="shared" si="10"/>
        <v>0</v>
      </c>
      <c r="N44" s="465">
        <f t="shared" si="10"/>
        <v>0</v>
      </c>
      <c r="O44" s="465">
        <f t="shared" si="10"/>
        <v>0</v>
      </c>
      <c r="P44" s="465">
        <f t="shared" si="10"/>
        <v>0</v>
      </c>
      <c r="Q44" s="465">
        <f t="shared" si="10"/>
        <v>0</v>
      </c>
      <c r="R44" s="465">
        <f t="shared" si="10"/>
        <v>0</v>
      </c>
      <c r="S44" s="465">
        <f t="shared" si="10"/>
        <v>0</v>
      </c>
      <c r="T44" s="465">
        <f t="shared" si="10"/>
        <v>0</v>
      </c>
      <c r="U44" s="465">
        <f t="shared" si="10"/>
        <v>42983</v>
      </c>
      <c r="V44" s="448"/>
    </row>
    <row r="45" spans="1:22" s="407" customFormat="1" ht="21" customHeight="1" hidden="1">
      <c r="A45" s="783" t="s">
        <v>294</v>
      </c>
      <c r="B45" s="784"/>
      <c r="C45" s="467"/>
      <c r="D45" s="467"/>
      <c r="E45" s="467"/>
      <c r="F45" s="467"/>
      <c r="G45" s="467"/>
      <c r="H45" s="467"/>
      <c r="I45" s="467"/>
      <c r="J45" s="467"/>
      <c r="K45" s="467"/>
      <c r="L45" s="467"/>
      <c r="M45" s="468"/>
      <c r="N45" s="467"/>
      <c r="O45" s="467"/>
      <c r="P45" s="467"/>
      <c r="Q45" s="467"/>
      <c r="R45" s="467"/>
      <c r="S45" s="467"/>
      <c r="T45" s="467"/>
      <c r="U45" s="469">
        <f>SUM(C45:T45)</f>
        <v>0</v>
      </c>
      <c r="V45" s="448"/>
    </row>
    <row r="46" spans="1:22" s="407" customFormat="1" ht="21" customHeight="1" hidden="1">
      <c r="A46" s="454">
        <v>320100</v>
      </c>
      <c r="B46" s="470" t="s">
        <v>266</v>
      </c>
      <c r="C46" s="456">
        <f>15000+4500+3500</f>
        <v>23000</v>
      </c>
      <c r="D46" s="456">
        <f>3500+3900</f>
        <v>7400</v>
      </c>
      <c r="E46" s="456"/>
      <c r="F46" s="456"/>
      <c r="G46" s="456"/>
      <c r="H46" s="456"/>
      <c r="I46" s="456"/>
      <c r="J46" s="472"/>
      <c r="K46" s="456"/>
      <c r="L46" s="456">
        <v>13310</v>
      </c>
      <c r="M46" s="457"/>
      <c r="N46" s="456"/>
      <c r="O46" s="456"/>
      <c r="P46" s="456"/>
      <c r="Q46" s="456"/>
      <c r="R46" s="456"/>
      <c r="S46" s="456"/>
      <c r="T46" s="456"/>
      <c r="U46" s="458">
        <f>SUM(C46:T46)</f>
        <v>43710</v>
      </c>
      <c r="V46" s="448"/>
    </row>
    <row r="47" spans="1:22" s="407" customFormat="1" ht="21" customHeight="1" hidden="1">
      <c r="A47" s="454">
        <v>320200</v>
      </c>
      <c r="B47" s="470" t="s">
        <v>267</v>
      </c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7"/>
      <c r="N47" s="456"/>
      <c r="O47" s="456"/>
      <c r="P47" s="456"/>
      <c r="Q47" s="456"/>
      <c r="R47" s="456"/>
      <c r="S47" s="456"/>
      <c r="T47" s="456"/>
      <c r="U47" s="458">
        <f>SUM(C47:T47)</f>
        <v>0</v>
      </c>
      <c r="V47" s="448"/>
    </row>
    <row r="48" spans="1:22" s="407" customFormat="1" ht="21" customHeight="1" hidden="1">
      <c r="A48" s="454">
        <v>320300</v>
      </c>
      <c r="B48" s="470" t="s">
        <v>268</v>
      </c>
      <c r="C48" s="456">
        <f>1000+7068.25+744</f>
        <v>8812.25</v>
      </c>
      <c r="D48" s="456"/>
      <c r="E48" s="456"/>
      <c r="F48" s="456"/>
      <c r="G48" s="456"/>
      <c r="H48" s="456"/>
      <c r="I48" s="456"/>
      <c r="J48" s="456"/>
      <c r="K48" s="456"/>
      <c r="L48" s="456"/>
      <c r="M48" s="457"/>
      <c r="N48" s="456"/>
      <c r="O48" s="456"/>
      <c r="P48" s="456"/>
      <c r="Q48" s="456"/>
      <c r="R48" s="456"/>
      <c r="S48" s="456"/>
      <c r="T48" s="456"/>
      <c r="U48" s="458">
        <f>SUM(C48:T48)</f>
        <v>8812.25</v>
      </c>
      <c r="V48" s="448"/>
    </row>
    <row r="49" spans="1:23" s="407" customFormat="1" ht="21" customHeight="1" hidden="1">
      <c r="A49" s="459">
        <v>320400</v>
      </c>
      <c r="B49" s="471" t="s">
        <v>269</v>
      </c>
      <c r="C49" s="461"/>
      <c r="D49" s="461"/>
      <c r="E49" s="461"/>
      <c r="F49" s="461"/>
      <c r="G49" s="461"/>
      <c r="H49" s="461"/>
      <c r="I49" s="461"/>
      <c r="J49" s="473"/>
      <c r="K49" s="461"/>
      <c r="L49" s="461"/>
      <c r="M49" s="462"/>
      <c r="N49" s="461"/>
      <c r="O49" s="461"/>
      <c r="P49" s="461"/>
      <c r="Q49" s="461"/>
      <c r="R49" s="461"/>
      <c r="S49" s="461"/>
      <c r="T49" s="461"/>
      <c r="U49" s="458">
        <f>SUM(C49:T49)</f>
        <v>0</v>
      </c>
      <c r="V49" s="448"/>
      <c r="W49" s="407" t="s">
        <v>530</v>
      </c>
    </row>
    <row r="50" spans="1:23" s="407" customFormat="1" ht="21" customHeight="1" hidden="1">
      <c r="A50" s="779" t="s">
        <v>252</v>
      </c>
      <c r="B50" s="780"/>
      <c r="C50" s="458">
        <f>SUM(C46:C49)</f>
        <v>31812.25</v>
      </c>
      <c r="D50" s="458">
        <f aca="true" t="shared" si="11" ref="D50:J50">SUM(D46:D49)</f>
        <v>7400</v>
      </c>
      <c r="E50" s="458">
        <f t="shared" si="11"/>
        <v>0</v>
      </c>
      <c r="F50" s="458">
        <f t="shared" si="11"/>
        <v>0</v>
      </c>
      <c r="G50" s="458">
        <f t="shared" si="11"/>
        <v>0</v>
      </c>
      <c r="H50" s="458">
        <f t="shared" si="11"/>
        <v>0</v>
      </c>
      <c r="I50" s="458">
        <f t="shared" si="11"/>
        <v>0</v>
      </c>
      <c r="J50" s="458">
        <f t="shared" si="11"/>
        <v>0</v>
      </c>
      <c r="K50" s="458">
        <f>SUM(K46:K49)</f>
        <v>0</v>
      </c>
      <c r="L50" s="458">
        <f>SUM(L46:L49)</f>
        <v>13310</v>
      </c>
      <c r="M50" s="464">
        <f>SUM(M46:M49)</f>
        <v>0</v>
      </c>
      <c r="N50" s="458">
        <f>SUM(N46:N49)</f>
        <v>0</v>
      </c>
      <c r="O50" s="458">
        <f>SUM(O46:O49)</f>
        <v>0</v>
      </c>
      <c r="P50" s="458">
        <f>SUM(P46:P49)</f>
        <v>0</v>
      </c>
      <c r="Q50" s="458">
        <f>SUM(Q46:Q49)</f>
        <v>0</v>
      </c>
      <c r="R50" s="458">
        <f>SUM(R46:R49)</f>
        <v>0</v>
      </c>
      <c r="S50" s="458">
        <f>SUM(S46:S49)</f>
        <v>0</v>
      </c>
      <c r="T50" s="458">
        <f>SUM(T46:T49)</f>
        <v>0</v>
      </c>
      <c r="U50" s="458">
        <f>SUM(C50:T50)</f>
        <v>52522.25</v>
      </c>
      <c r="V50" s="448">
        <v>448913.5</v>
      </c>
      <c r="W50" s="474">
        <f>+U50-V50</f>
        <v>-396391.25</v>
      </c>
    </row>
    <row r="51" spans="1:24" s="407" customFormat="1" ht="21" customHeight="1" hidden="1">
      <c r="A51" s="781" t="s">
        <v>253</v>
      </c>
      <c r="B51" s="782"/>
      <c r="C51" s="465">
        <f>+C50</f>
        <v>31812.25</v>
      </c>
      <c r="D51" s="465">
        <f aca="true" t="shared" si="12" ref="D51:U51">+D50</f>
        <v>7400</v>
      </c>
      <c r="E51" s="465">
        <f t="shared" si="12"/>
        <v>0</v>
      </c>
      <c r="F51" s="465">
        <f t="shared" si="12"/>
        <v>0</v>
      </c>
      <c r="G51" s="465">
        <f t="shared" si="12"/>
        <v>0</v>
      </c>
      <c r="H51" s="465">
        <f t="shared" si="12"/>
        <v>0</v>
      </c>
      <c r="I51" s="465">
        <f t="shared" si="12"/>
        <v>0</v>
      </c>
      <c r="J51" s="465">
        <f t="shared" si="12"/>
        <v>0</v>
      </c>
      <c r="K51" s="465">
        <f t="shared" si="12"/>
        <v>0</v>
      </c>
      <c r="L51" s="465">
        <f t="shared" si="12"/>
        <v>13310</v>
      </c>
      <c r="M51" s="466">
        <f t="shared" si="12"/>
        <v>0</v>
      </c>
      <c r="N51" s="465">
        <f t="shared" si="12"/>
        <v>0</v>
      </c>
      <c r="O51" s="465">
        <f t="shared" si="12"/>
        <v>0</v>
      </c>
      <c r="P51" s="465">
        <f t="shared" si="12"/>
        <v>0</v>
      </c>
      <c r="Q51" s="465">
        <f t="shared" si="12"/>
        <v>0</v>
      </c>
      <c r="R51" s="465">
        <f t="shared" si="12"/>
        <v>0</v>
      </c>
      <c r="S51" s="465">
        <f t="shared" si="12"/>
        <v>0</v>
      </c>
      <c r="T51" s="465">
        <f t="shared" si="12"/>
        <v>0</v>
      </c>
      <c r="U51" s="465">
        <f t="shared" si="12"/>
        <v>52522.25</v>
      </c>
      <c r="V51" s="448"/>
      <c r="W51" s="406">
        <f>3600+5000+3600+29475+98200</f>
        <v>139875</v>
      </c>
      <c r="X51" s="407">
        <f>3600+5000+3600+29475+98200</f>
        <v>139875</v>
      </c>
    </row>
    <row r="52" spans="1:23" s="407" customFormat="1" ht="21" customHeight="1" hidden="1">
      <c r="A52" s="783" t="s">
        <v>295</v>
      </c>
      <c r="B52" s="784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8"/>
      <c r="N52" s="467"/>
      <c r="O52" s="467"/>
      <c r="P52" s="467"/>
      <c r="Q52" s="467"/>
      <c r="R52" s="467"/>
      <c r="S52" s="467"/>
      <c r="T52" s="467"/>
      <c r="U52" s="469">
        <f aca="true" t="shared" si="13" ref="U52:U57">SUM(C52:T52)</f>
        <v>0</v>
      </c>
      <c r="V52" s="448">
        <f>+V50+W51</f>
        <v>588788.5</v>
      </c>
      <c r="W52" s="474">
        <f>+W50-W51</f>
        <v>-536266.25</v>
      </c>
    </row>
    <row r="53" spans="1:22" s="407" customFormat="1" ht="21" customHeight="1" hidden="1">
      <c r="A53" s="454">
        <v>330100</v>
      </c>
      <c r="B53" s="470" t="s">
        <v>270</v>
      </c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7"/>
      <c r="N53" s="456"/>
      <c r="O53" s="456"/>
      <c r="P53" s="456"/>
      <c r="Q53" s="456"/>
      <c r="R53" s="456"/>
      <c r="S53" s="456"/>
      <c r="T53" s="456"/>
      <c r="U53" s="458">
        <f t="shared" si="13"/>
        <v>0</v>
      </c>
      <c r="V53" s="448"/>
    </row>
    <row r="54" spans="1:22" s="407" customFormat="1" ht="21" customHeight="1" hidden="1">
      <c r="A54" s="454">
        <v>330200</v>
      </c>
      <c r="B54" s="470" t="s">
        <v>271</v>
      </c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7"/>
      <c r="N54" s="456"/>
      <c r="O54" s="456"/>
      <c r="P54" s="456"/>
      <c r="Q54" s="456"/>
      <c r="R54" s="456"/>
      <c r="S54" s="456"/>
      <c r="T54" s="456"/>
      <c r="U54" s="458">
        <f t="shared" si="13"/>
        <v>0</v>
      </c>
      <c r="V54" s="448"/>
    </row>
    <row r="55" spans="1:22" s="407" customFormat="1" ht="21" customHeight="1" hidden="1">
      <c r="A55" s="454">
        <v>330300</v>
      </c>
      <c r="B55" s="470" t="s">
        <v>406</v>
      </c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7"/>
      <c r="N55" s="456"/>
      <c r="O55" s="456"/>
      <c r="P55" s="456"/>
      <c r="Q55" s="456"/>
      <c r="R55" s="456"/>
      <c r="S55" s="456"/>
      <c r="T55" s="456"/>
      <c r="U55" s="458">
        <f t="shared" si="13"/>
        <v>0</v>
      </c>
      <c r="V55" s="448"/>
    </row>
    <row r="56" spans="1:22" s="407" customFormat="1" ht="21" customHeight="1" hidden="1">
      <c r="A56" s="454">
        <v>330400</v>
      </c>
      <c r="B56" s="470" t="s">
        <v>296</v>
      </c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7"/>
      <c r="N56" s="456"/>
      <c r="O56" s="456"/>
      <c r="P56" s="456"/>
      <c r="Q56" s="456"/>
      <c r="R56" s="456"/>
      <c r="S56" s="456"/>
      <c r="T56" s="456"/>
      <c r="U56" s="458">
        <f t="shared" si="13"/>
        <v>0</v>
      </c>
      <c r="V56" s="448"/>
    </row>
    <row r="57" spans="1:22" s="407" customFormat="1" ht="21" customHeight="1" hidden="1">
      <c r="A57" s="454">
        <v>330600</v>
      </c>
      <c r="B57" s="470" t="s">
        <v>272</v>
      </c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7"/>
      <c r="N57" s="456"/>
      <c r="O57" s="456"/>
      <c r="P57" s="456"/>
      <c r="Q57" s="456"/>
      <c r="R57" s="456"/>
      <c r="S57" s="456"/>
      <c r="T57" s="456"/>
      <c r="U57" s="458">
        <f t="shared" si="13"/>
        <v>0</v>
      </c>
      <c r="V57" s="448"/>
    </row>
    <row r="58" spans="1:22" s="407" customFormat="1" ht="21" customHeight="1" hidden="1">
      <c r="A58" s="454">
        <v>330800</v>
      </c>
      <c r="B58" s="470" t="s">
        <v>273</v>
      </c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7"/>
      <c r="N58" s="456"/>
      <c r="O58" s="456"/>
      <c r="P58" s="456"/>
      <c r="Q58" s="456"/>
      <c r="R58" s="456"/>
      <c r="S58" s="456"/>
      <c r="T58" s="456"/>
      <c r="U58" s="458">
        <f>SUM(C58:T58)</f>
        <v>0</v>
      </c>
      <c r="V58" s="448"/>
    </row>
    <row r="59" spans="1:22" s="407" customFormat="1" ht="21" customHeight="1" hidden="1">
      <c r="A59" s="454">
        <v>330900</v>
      </c>
      <c r="B59" s="470" t="s">
        <v>275</v>
      </c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7"/>
      <c r="N59" s="456"/>
      <c r="O59" s="456"/>
      <c r="P59" s="456"/>
      <c r="Q59" s="456"/>
      <c r="R59" s="456"/>
      <c r="S59" s="456"/>
      <c r="T59" s="456"/>
      <c r="U59" s="458">
        <f>SUM(C59:T59)</f>
        <v>0</v>
      </c>
      <c r="V59" s="448"/>
    </row>
    <row r="60" spans="1:22" s="407" customFormat="1" ht="21" customHeight="1" hidden="1">
      <c r="A60" s="785" t="s">
        <v>216</v>
      </c>
      <c r="B60" s="785"/>
      <c r="C60" s="786" t="s">
        <v>218</v>
      </c>
      <c r="D60" s="786"/>
      <c r="E60" s="450" t="s">
        <v>221</v>
      </c>
      <c r="F60" s="786" t="s">
        <v>223</v>
      </c>
      <c r="G60" s="785"/>
      <c r="H60" s="450" t="s">
        <v>237</v>
      </c>
      <c r="I60" s="450" t="s">
        <v>238</v>
      </c>
      <c r="J60" s="776" t="s">
        <v>239</v>
      </c>
      <c r="K60" s="777"/>
      <c r="L60" s="778"/>
      <c r="M60" s="451" t="s">
        <v>240</v>
      </c>
      <c r="N60" s="776" t="s">
        <v>241</v>
      </c>
      <c r="O60" s="777"/>
      <c r="P60" s="778"/>
      <c r="Q60" s="786" t="s">
        <v>242</v>
      </c>
      <c r="R60" s="785"/>
      <c r="S60" s="450" t="s">
        <v>306</v>
      </c>
      <c r="T60" s="450" t="s">
        <v>243</v>
      </c>
      <c r="U60" s="787" t="s">
        <v>17</v>
      </c>
      <c r="V60" s="448"/>
    </row>
    <row r="61" spans="1:22" s="407" customFormat="1" ht="21" customHeight="1" hidden="1">
      <c r="A61" s="785" t="s">
        <v>217</v>
      </c>
      <c r="B61" s="785"/>
      <c r="C61" s="450" t="s">
        <v>219</v>
      </c>
      <c r="D61" s="450" t="s">
        <v>220</v>
      </c>
      <c r="E61" s="450" t="s">
        <v>312</v>
      </c>
      <c r="F61" s="450" t="s">
        <v>224</v>
      </c>
      <c r="G61" s="450" t="s">
        <v>225</v>
      </c>
      <c r="H61" s="450" t="s">
        <v>227</v>
      </c>
      <c r="I61" s="450" t="s">
        <v>228</v>
      </c>
      <c r="J61" s="450" t="s">
        <v>229</v>
      </c>
      <c r="K61" s="450" t="s">
        <v>230</v>
      </c>
      <c r="L61" s="450" t="s">
        <v>431</v>
      </c>
      <c r="M61" s="451" t="s">
        <v>231</v>
      </c>
      <c r="N61" s="450" t="s">
        <v>232</v>
      </c>
      <c r="O61" s="450" t="s">
        <v>233</v>
      </c>
      <c r="P61" s="450" t="s">
        <v>314</v>
      </c>
      <c r="Q61" s="450" t="s">
        <v>234</v>
      </c>
      <c r="R61" s="450" t="s">
        <v>235</v>
      </c>
      <c r="S61" s="450" t="s">
        <v>307</v>
      </c>
      <c r="T61" s="450" t="s">
        <v>236</v>
      </c>
      <c r="U61" s="787"/>
      <c r="V61" s="448"/>
    </row>
    <row r="62" spans="1:22" s="407" customFormat="1" ht="21" customHeight="1" hidden="1">
      <c r="A62" s="454">
        <v>331200</v>
      </c>
      <c r="B62" s="470" t="s">
        <v>276</v>
      </c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7"/>
      <c r="N62" s="456"/>
      <c r="O62" s="456"/>
      <c r="P62" s="456"/>
      <c r="Q62" s="456"/>
      <c r="R62" s="456"/>
      <c r="S62" s="456"/>
      <c r="T62" s="456"/>
      <c r="U62" s="458">
        <f aca="true" t="shared" si="14" ref="U62:U67">SUM(C62:T62)</f>
        <v>0</v>
      </c>
      <c r="V62" s="448"/>
    </row>
    <row r="63" spans="1:22" s="407" customFormat="1" ht="21" customHeight="1" hidden="1">
      <c r="A63" s="454">
        <v>331300</v>
      </c>
      <c r="B63" s="470" t="s">
        <v>277</v>
      </c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7"/>
      <c r="N63" s="456"/>
      <c r="O63" s="456"/>
      <c r="P63" s="456"/>
      <c r="Q63" s="456"/>
      <c r="R63" s="456"/>
      <c r="S63" s="456"/>
      <c r="T63" s="456"/>
      <c r="U63" s="458">
        <f t="shared" si="14"/>
        <v>0</v>
      </c>
      <c r="V63" s="448"/>
    </row>
    <row r="64" spans="1:22" s="407" customFormat="1" ht="21" customHeight="1" hidden="1">
      <c r="A64" s="454">
        <v>331400</v>
      </c>
      <c r="B64" s="470" t="s">
        <v>274</v>
      </c>
      <c r="C64" s="456">
        <f>3960+3870</f>
        <v>7830</v>
      </c>
      <c r="D64" s="456"/>
      <c r="E64" s="456"/>
      <c r="F64" s="456"/>
      <c r="G64" s="456"/>
      <c r="H64" s="456"/>
      <c r="I64" s="456"/>
      <c r="J64" s="456"/>
      <c r="K64" s="456"/>
      <c r="L64" s="456"/>
      <c r="M64" s="457"/>
      <c r="N64" s="456"/>
      <c r="O64" s="456"/>
      <c r="P64" s="456"/>
      <c r="Q64" s="456"/>
      <c r="R64" s="456"/>
      <c r="S64" s="456"/>
      <c r="T64" s="456"/>
      <c r="U64" s="458">
        <f t="shared" si="14"/>
        <v>7830</v>
      </c>
      <c r="V64" s="448"/>
    </row>
    <row r="65" spans="1:22" s="407" customFormat="1" ht="21" customHeight="1" hidden="1">
      <c r="A65" s="454">
        <v>331500</v>
      </c>
      <c r="B65" s="470" t="s">
        <v>278</v>
      </c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7"/>
      <c r="N65" s="456"/>
      <c r="O65" s="456"/>
      <c r="P65" s="456"/>
      <c r="Q65" s="456"/>
      <c r="R65" s="456"/>
      <c r="S65" s="456"/>
      <c r="T65" s="456"/>
      <c r="U65" s="458">
        <f t="shared" si="14"/>
        <v>0</v>
      </c>
      <c r="V65" s="448"/>
    </row>
    <row r="66" spans="1:22" s="407" customFormat="1" ht="21" customHeight="1" hidden="1">
      <c r="A66" s="459">
        <v>331700</v>
      </c>
      <c r="B66" s="471" t="s">
        <v>279</v>
      </c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2"/>
      <c r="N66" s="461"/>
      <c r="O66" s="461"/>
      <c r="P66" s="461"/>
      <c r="Q66" s="461"/>
      <c r="R66" s="461"/>
      <c r="S66" s="461"/>
      <c r="T66" s="461"/>
      <c r="U66" s="458">
        <f t="shared" si="14"/>
        <v>0</v>
      </c>
      <c r="V66" s="448"/>
    </row>
    <row r="67" spans="1:22" s="407" customFormat="1" ht="21" customHeight="1" hidden="1">
      <c r="A67" s="779" t="s">
        <v>252</v>
      </c>
      <c r="B67" s="780"/>
      <c r="C67" s="458">
        <f>SUM(C53:C66)</f>
        <v>7830</v>
      </c>
      <c r="D67" s="458">
        <f aca="true" t="shared" si="15" ref="D67:M67">SUM(D53:D66)</f>
        <v>0</v>
      </c>
      <c r="E67" s="458">
        <f t="shared" si="15"/>
        <v>0</v>
      </c>
      <c r="F67" s="458">
        <f t="shared" si="15"/>
        <v>0</v>
      </c>
      <c r="G67" s="458">
        <f t="shared" si="15"/>
        <v>0</v>
      </c>
      <c r="H67" s="458">
        <f t="shared" si="15"/>
        <v>0</v>
      </c>
      <c r="I67" s="458">
        <f t="shared" si="15"/>
        <v>0</v>
      </c>
      <c r="J67" s="458">
        <f t="shared" si="15"/>
        <v>0</v>
      </c>
      <c r="K67" s="458">
        <f t="shared" si="15"/>
        <v>0</v>
      </c>
      <c r="L67" s="458">
        <f t="shared" si="15"/>
        <v>0</v>
      </c>
      <c r="M67" s="464">
        <f t="shared" si="15"/>
        <v>0</v>
      </c>
      <c r="N67" s="458">
        <f>SUM(N53:N66)</f>
        <v>0</v>
      </c>
      <c r="O67" s="458">
        <f>SUM(O53:O66)</f>
        <v>0</v>
      </c>
      <c r="P67" s="458"/>
      <c r="Q67" s="458">
        <f>SUM(Q53:Q66)</f>
        <v>0</v>
      </c>
      <c r="R67" s="458">
        <f>SUM(R53:R66)</f>
        <v>0</v>
      </c>
      <c r="S67" s="458">
        <f>SUM(S53:S66)</f>
        <v>0</v>
      </c>
      <c r="T67" s="458">
        <f>SUM(T53:T66)</f>
        <v>0</v>
      </c>
      <c r="U67" s="458">
        <f t="shared" si="14"/>
        <v>7830</v>
      </c>
      <c r="V67" s="448"/>
    </row>
    <row r="68" spans="1:22" s="407" customFormat="1" ht="21" customHeight="1" hidden="1">
      <c r="A68" s="781" t="s">
        <v>253</v>
      </c>
      <c r="B68" s="782"/>
      <c r="C68" s="465">
        <f>+C67</f>
        <v>7830</v>
      </c>
      <c r="D68" s="465">
        <f aca="true" t="shared" si="16" ref="D68:U68">+D67</f>
        <v>0</v>
      </c>
      <c r="E68" s="465">
        <f t="shared" si="16"/>
        <v>0</v>
      </c>
      <c r="F68" s="465">
        <f t="shared" si="16"/>
        <v>0</v>
      </c>
      <c r="G68" s="465">
        <f t="shared" si="16"/>
        <v>0</v>
      </c>
      <c r="H68" s="465">
        <f t="shared" si="16"/>
        <v>0</v>
      </c>
      <c r="I68" s="465">
        <f t="shared" si="16"/>
        <v>0</v>
      </c>
      <c r="J68" s="465">
        <f t="shared" si="16"/>
        <v>0</v>
      </c>
      <c r="K68" s="465">
        <f t="shared" si="16"/>
        <v>0</v>
      </c>
      <c r="L68" s="465">
        <f t="shared" si="16"/>
        <v>0</v>
      </c>
      <c r="M68" s="466">
        <f t="shared" si="16"/>
        <v>0</v>
      </c>
      <c r="N68" s="465">
        <f t="shared" si="16"/>
        <v>0</v>
      </c>
      <c r="O68" s="465">
        <f t="shared" si="16"/>
        <v>0</v>
      </c>
      <c r="P68" s="465">
        <f t="shared" si="16"/>
        <v>0</v>
      </c>
      <c r="Q68" s="465">
        <f t="shared" si="16"/>
        <v>0</v>
      </c>
      <c r="R68" s="465">
        <f t="shared" si="16"/>
        <v>0</v>
      </c>
      <c r="S68" s="465">
        <f t="shared" si="16"/>
        <v>0</v>
      </c>
      <c r="T68" s="465">
        <f t="shared" si="16"/>
        <v>0</v>
      </c>
      <c r="U68" s="465">
        <f t="shared" si="16"/>
        <v>7830</v>
      </c>
      <c r="V68" s="448"/>
    </row>
    <row r="69" spans="1:22" s="407" customFormat="1" ht="21" customHeight="1" hidden="1">
      <c r="A69" s="783" t="s">
        <v>297</v>
      </c>
      <c r="B69" s="784"/>
      <c r="C69" s="467"/>
      <c r="D69" s="467"/>
      <c r="E69" s="467"/>
      <c r="F69" s="467"/>
      <c r="G69" s="467"/>
      <c r="H69" s="467"/>
      <c r="I69" s="467"/>
      <c r="J69" s="467"/>
      <c r="K69" s="467"/>
      <c r="L69" s="467"/>
      <c r="M69" s="468"/>
      <c r="N69" s="467"/>
      <c r="O69" s="467"/>
      <c r="P69" s="467"/>
      <c r="Q69" s="467"/>
      <c r="R69" s="467"/>
      <c r="S69" s="467"/>
      <c r="T69" s="467"/>
      <c r="U69" s="469">
        <f aca="true" t="shared" si="17" ref="U69:U74">SUM(C69:T69)</f>
        <v>0</v>
      </c>
      <c r="V69" s="448"/>
    </row>
    <row r="70" spans="1:22" s="407" customFormat="1" ht="21" customHeight="1" hidden="1">
      <c r="A70" s="454">
        <v>340100</v>
      </c>
      <c r="B70" s="470" t="s">
        <v>280</v>
      </c>
      <c r="C70" s="456">
        <v>18675.51</v>
      </c>
      <c r="D70" s="456"/>
      <c r="E70" s="456"/>
      <c r="F70" s="456"/>
      <c r="G70" s="456"/>
      <c r="H70" s="456"/>
      <c r="I70" s="456"/>
      <c r="J70" s="456"/>
      <c r="K70" s="456"/>
      <c r="L70" s="456"/>
      <c r="M70" s="457"/>
      <c r="N70" s="456"/>
      <c r="O70" s="456"/>
      <c r="P70" s="456"/>
      <c r="Q70" s="456"/>
      <c r="R70" s="456"/>
      <c r="S70" s="456">
        <f>77.75+47497.54</f>
        <v>47575.29</v>
      </c>
      <c r="T70" s="456"/>
      <c r="U70" s="458">
        <f t="shared" si="17"/>
        <v>66250.8</v>
      </c>
      <c r="V70" s="448"/>
    </row>
    <row r="71" spans="1:22" s="407" customFormat="1" ht="21" customHeight="1" hidden="1">
      <c r="A71" s="454">
        <v>340300</v>
      </c>
      <c r="B71" s="470" t="s">
        <v>281</v>
      </c>
      <c r="C71" s="456">
        <v>698.98</v>
      </c>
      <c r="D71" s="456"/>
      <c r="E71" s="456"/>
      <c r="F71" s="456"/>
      <c r="G71" s="456"/>
      <c r="H71" s="456"/>
      <c r="I71" s="456"/>
      <c r="J71" s="456"/>
      <c r="K71" s="456"/>
      <c r="L71" s="456"/>
      <c r="M71" s="457"/>
      <c r="N71" s="456"/>
      <c r="O71" s="456"/>
      <c r="P71" s="456"/>
      <c r="Q71" s="456"/>
      <c r="R71" s="456"/>
      <c r="S71" s="456"/>
      <c r="T71" s="456"/>
      <c r="U71" s="458">
        <f t="shared" si="17"/>
        <v>698.98</v>
      </c>
      <c r="V71" s="448"/>
    </row>
    <row r="72" spans="1:22" s="407" customFormat="1" ht="21" customHeight="1" hidden="1">
      <c r="A72" s="454">
        <v>340400</v>
      </c>
      <c r="B72" s="470" t="s">
        <v>282</v>
      </c>
      <c r="C72" s="456">
        <f>1677+8539.8</f>
        <v>10216.8</v>
      </c>
      <c r="D72" s="456"/>
      <c r="E72" s="456"/>
      <c r="F72" s="456"/>
      <c r="G72" s="456"/>
      <c r="H72" s="456"/>
      <c r="I72" s="456"/>
      <c r="J72" s="456"/>
      <c r="K72" s="456"/>
      <c r="L72" s="456"/>
      <c r="M72" s="457"/>
      <c r="N72" s="456"/>
      <c r="O72" s="456"/>
      <c r="P72" s="456"/>
      <c r="Q72" s="456"/>
      <c r="R72" s="456"/>
      <c r="S72" s="456"/>
      <c r="T72" s="456"/>
      <c r="U72" s="458">
        <f t="shared" si="17"/>
        <v>10216.8</v>
      </c>
      <c r="V72" s="448"/>
    </row>
    <row r="73" spans="1:22" s="407" customFormat="1" ht="21" customHeight="1" hidden="1">
      <c r="A73" s="459">
        <v>340500</v>
      </c>
      <c r="B73" s="471" t="s">
        <v>283</v>
      </c>
      <c r="C73" s="456">
        <v>8560</v>
      </c>
      <c r="D73" s="461"/>
      <c r="E73" s="461"/>
      <c r="F73" s="461"/>
      <c r="G73" s="461"/>
      <c r="H73" s="461"/>
      <c r="I73" s="461"/>
      <c r="J73" s="461"/>
      <c r="K73" s="461"/>
      <c r="L73" s="461"/>
      <c r="M73" s="462"/>
      <c r="N73" s="461"/>
      <c r="O73" s="461"/>
      <c r="P73" s="461"/>
      <c r="Q73" s="461"/>
      <c r="R73" s="461"/>
      <c r="S73" s="461"/>
      <c r="T73" s="461"/>
      <c r="U73" s="463">
        <f t="shared" si="17"/>
        <v>8560</v>
      </c>
      <c r="V73" s="448"/>
    </row>
    <row r="74" spans="1:23" s="407" customFormat="1" ht="21" customHeight="1" hidden="1">
      <c r="A74" s="779" t="s">
        <v>252</v>
      </c>
      <c r="B74" s="780"/>
      <c r="C74" s="458">
        <f>SUM(C70:C73)</f>
        <v>38151.28999999999</v>
      </c>
      <c r="D74" s="458">
        <f aca="true" t="shared" si="18" ref="D74:L74">SUM(D70:D73)</f>
        <v>0</v>
      </c>
      <c r="E74" s="458">
        <f t="shared" si="18"/>
        <v>0</v>
      </c>
      <c r="F74" s="458">
        <f t="shared" si="18"/>
        <v>0</v>
      </c>
      <c r="G74" s="458">
        <f t="shared" si="18"/>
        <v>0</v>
      </c>
      <c r="H74" s="458">
        <f t="shared" si="18"/>
        <v>0</v>
      </c>
      <c r="I74" s="458">
        <f t="shared" si="18"/>
        <v>0</v>
      </c>
      <c r="J74" s="458">
        <f t="shared" si="18"/>
        <v>0</v>
      </c>
      <c r="K74" s="458">
        <f t="shared" si="18"/>
        <v>0</v>
      </c>
      <c r="L74" s="458">
        <f t="shared" si="18"/>
        <v>0</v>
      </c>
      <c r="M74" s="464">
        <f>SUM(M70:M73)</f>
        <v>0</v>
      </c>
      <c r="N74" s="458">
        <f>SUM(N70:N73)</f>
        <v>0</v>
      </c>
      <c r="O74" s="458">
        <f>SUM(O70:O73)</f>
        <v>0</v>
      </c>
      <c r="P74" s="458"/>
      <c r="Q74" s="458">
        <f>SUM(Q70:Q73)</f>
        <v>0</v>
      </c>
      <c r="R74" s="458">
        <f>SUM(R70:R73)</f>
        <v>0</v>
      </c>
      <c r="S74" s="458">
        <f>SUM(S70:S73)</f>
        <v>47575.29</v>
      </c>
      <c r="T74" s="458">
        <f>SUM(T70:T73)</f>
        <v>0</v>
      </c>
      <c r="U74" s="458">
        <f t="shared" si="17"/>
        <v>85726.57999999999</v>
      </c>
      <c r="V74" s="448">
        <v>149056.63</v>
      </c>
      <c r="W74" s="474">
        <f>+U74-V74</f>
        <v>-63330.05000000002</v>
      </c>
    </row>
    <row r="75" spans="1:22" s="407" customFormat="1" ht="21" customHeight="1" hidden="1">
      <c r="A75" s="781" t="s">
        <v>253</v>
      </c>
      <c r="B75" s="782"/>
      <c r="C75" s="465">
        <f>+C74</f>
        <v>38151.28999999999</v>
      </c>
      <c r="D75" s="465">
        <f aca="true" t="shared" si="19" ref="D75:U75">+D74</f>
        <v>0</v>
      </c>
      <c r="E75" s="465">
        <f t="shared" si="19"/>
        <v>0</v>
      </c>
      <c r="F75" s="465">
        <f t="shared" si="19"/>
        <v>0</v>
      </c>
      <c r="G75" s="465">
        <f t="shared" si="19"/>
        <v>0</v>
      </c>
      <c r="H75" s="465">
        <f t="shared" si="19"/>
        <v>0</v>
      </c>
      <c r="I75" s="465">
        <f t="shared" si="19"/>
        <v>0</v>
      </c>
      <c r="J75" s="465">
        <f t="shared" si="19"/>
        <v>0</v>
      </c>
      <c r="K75" s="465">
        <f t="shared" si="19"/>
        <v>0</v>
      </c>
      <c r="L75" s="465">
        <f t="shared" si="19"/>
        <v>0</v>
      </c>
      <c r="M75" s="466">
        <f t="shared" si="19"/>
        <v>0</v>
      </c>
      <c r="N75" s="465">
        <f t="shared" si="19"/>
        <v>0</v>
      </c>
      <c r="O75" s="465">
        <f t="shared" si="19"/>
        <v>0</v>
      </c>
      <c r="P75" s="465">
        <f t="shared" si="19"/>
        <v>0</v>
      </c>
      <c r="Q75" s="465">
        <f t="shared" si="19"/>
        <v>0</v>
      </c>
      <c r="R75" s="465">
        <f t="shared" si="19"/>
        <v>0</v>
      </c>
      <c r="S75" s="465">
        <f t="shared" si="19"/>
        <v>47575.29</v>
      </c>
      <c r="T75" s="465">
        <f t="shared" si="19"/>
        <v>0</v>
      </c>
      <c r="U75" s="465">
        <f t="shared" si="19"/>
        <v>85726.57999999999</v>
      </c>
      <c r="V75" s="448"/>
    </row>
    <row r="76" spans="1:22" s="407" customFormat="1" ht="21" customHeight="1" hidden="1">
      <c r="A76" s="783" t="s">
        <v>298</v>
      </c>
      <c r="B76" s="784"/>
      <c r="C76" s="467"/>
      <c r="D76" s="467"/>
      <c r="E76" s="467"/>
      <c r="F76" s="467"/>
      <c r="G76" s="467"/>
      <c r="H76" s="467"/>
      <c r="I76" s="467"/>
      <c r="J76" s="467"/>
      <c r="K76" s="467"/>
      <c r="L76" s="467"/>
      <c r="M76" s="468"/>
      <c r="N76" s="467"/>
      <c r="O76" s="467"/>
      <c r="P76" s="467"/>
      <c r="Q76" s="467"/>
      <c r="R76" s="467"/>
      <c r="S76" s="467"/>
      <c r="T76" s="467"/>
      <c r="U76" s="469">
        <f aca="true" t="shared" si="20" ref="U76:U88">SUM(C76:T76)</f>
        <v>0</v>
      </c>
      <c r="V76" s="448"/>
    </row>
    <row r="77" spans="1:22" s="407" customFormat="1" ht="21" customHeight="1" hidden="1">
      <c r="A77" s="454">
        <v>410400</v>
      </c>
      <c r="B77" s="470" t="s">
        <v>284</v>
      </c>
      <c r="C77" s="456"/>
      <c r="D77" s="456"/>
      <c r="E77" s="456"/>
      <c r="F77" s="456"/>
      <c r="G77" s="456"/>
      <c r="H77" s="456"/>
      <c r="I77" s="456"/>
      <c r="J77" s="456"/>
      <c r="K77" s="456"/>
      <c r="L77" s="456"/>
      <c r="M77" s="457"/>
      <c r="N77" s="456"/>
      <c r="O77" s="456"/>
      <c r="P77" s="456"/>
      <c r="Q77" s="456"/>
      <c r="R77" s="456"/>
      <c r="S77" s="456"/>
      <c r="T77" s="456"/>
      <c r="U77" s="458">
        <f t="shared" si="20"/>
        <v>0</v>
      </c>
      <c r="V77" s="448"/>
    </row>
    <row r="78" spans="1:22" s="407" customFormat="1" ht="21" customHeight="1" hidden="1">
      <c r="A78" s="454">
        <v>410200</v>
      </c>
      <c r="B78" s="470" t="s">
        <v>344</v>
      </c>
      <c r="C78" s="456"/>
      <c r="D78" s="456"/>
      <c r="E78" s="456"/>
      <c r="F78" s="456"/>
      <c r="G78" s="456"/>
      <c r="H78" s="456"/>
      <c r="I78" s="456"/>
      <c r="J78" s="456"/>
      <c r="K78" s="456"/>
      <c r="L78" s="456"/>
      <c r="M78" s="457"/>
      <c r="N78" s="456"/>
      <c r="O78" s="456"/>
      <c r="P78" s="456"/>
      <c r="Q78" s="456"/>
      <c r="R78" s="456"/>
      <c r="S78" s="456"/>
      <c r="T78" s="456"/>
      <c r="U78" s="458">
        <f t="shared" si="20"/>
        <v>0</v>
      </c>
      <c r="V78" s="448"/>
    </row>
    <row r="79" spans="1:22" s="407" customFormat="1" ht="21" customHeight="1" hidden="1">
      <c r="A79" s="454">
        <v>410300</v>
      </c>
      <c r="B79" s="470" t="s">
        <v>285</v>
      </c>
      <c r="C79" s="456"/>
      <c r="D79" s="456"/>
      <c r="E79" s="456"/>
      <c r="F79" s="456"/>
      <c r="G79" s="456"/>
      <c r="H79" s="456"/>
      <c r="I79" s="456"/>
      <c r="J79" s="456"/>
      <c r="K79" s="456"/>
      <c r="L79" s="456"/>
      <c r="M79" s="457"/>
      <c r="N79" s="456"/>
      <c r="O79" s="456"/>
      <c r="P79" s="456"/>
      <c r="Q79" s="456"/>
      <c r="R79" s="456"/>
      <c r="S79" s="456"/>
      <c r="T79" s="456"/>
      <c r="U79" s="458">
        <f t="shared" si="20"/>
        <v>0</v>
      </c>
      <c r="V79" s="448"/>
    </row>
    <row r="80" spans="1:22" s="407" customFormat="1" ht="21" customHeight="1" hidden="1">
      <c r="A80" s="454">
        <v>410400</v>
      </c>
      <c r="B80" s="470" t="s">
        <v>345</v>
      </c>
      <c r="C80" s="461"/>
      <c r="D80" s="461"/>
      <c r="E80" s="461"/>
      <c r="F80" s="461"/>
      <c r="G80" s="461"/>
      <c r="H80" s="461"/>
      <c r="I80" s="461"/>
      <c r="J80" s="461"/>
      <c r="K80" s="461"/>
      <c r="L80" s="461"/>
      <c r="M80" s="462"/>
      <c r="N80" s="461"/>
      <c r="O80" s="461"/>
      <c r="P80" s="461"/>
      <c r="Q80" s="461"/>
      <c r="R80" s="461"/>
      <c r="S80" s="461"/>
      <c r="T80" s="461"/>
      <c r="U80" s="458">
        <f t="shared" si="20"/>
        <v>0</v>
      </c>
      <c r="V80" s="448"/>
    </row>
    <row r="81" spans="1:22" s="407" customFormat="1" ht="21" customHeight="1" hidden="1">
      <c r="A81" s="454">
        <v>410500</v>
      </c>
      <c r="B81" s="470" t="s">
        <v>346</v>
      </c>
      <c r="C81" s="461"/>
      <c r="D81" s="461"/>
      <c r="E81" s="461"/>
      <c r="F81" s="461"/>
      <c r="G81" s="461"/>
      <c r="H81" s="461"/>
      <c r="I81" s="461"/>
      <c r="J81" s="461"/>
      <c r="K81" s="461"/>
      <c r="L81" s="461"/>
      <c r="M81" s="462"/>
      <c r="N81" s="461"/>
      <c r="O81" s="461"/>
      <c r="P81" s="461"/>
      <c r="Q81" s="461"/>
      <c r="R81" s="461"/>
      <c r="S81" s="461"/>
      <c r="T81" s="461"/>
      <c r="U81" s="458">
        <f t="shared" si="20"/>
        <v>0</v>
      </c>
      <c r="V81" s="448"/>
    </row>
    <row r="82" spans="1:22" s="407" customFormat="1" ht="21" customHeight="1" hidden="1">
      <c r="A82" s="454">
        <v>410600</v>
      </c>
      <c r="B82" s="470" t="s">
        <v>347</v>
      </c>
      <c r="C82" s="461"/>
      <c r="D82" s="461"/>
      <c r="E82" s="461"/>
      <c r="F82" s="461"/>
      <c r="G82" s="461"/>
      <c r="H82" s="461"/>
      <c r="I82" s="461"/>
      <c r="J82" s="461"/>
      <c r="K82" s="461"/>
      <c r="L82" s="461"/>
      <c r="M82" s="462"/>
      <c r="N82" s="461"/>
      <c r="O82" s="461"/>
      <c r="P82" s="461"/>
      <c r="Q82" s="461"/>
      <c r="R82" s="461"/>
      <c r="S82" s="461"/>
      <c r="T82" s="461"/>
      <c r="U82" s="458">
        <f t="shared" si="20"/>
        <v>0</v>
      </c>
      <c r="V82" s="448"/>
    </row>
    <row r="83" spans="1:22" s="407" customFormat="1" ht="21" customHeight="1" hidden="1">
      <c r="A83" s="454">
        <v>410700</v>
      </c>
      <c r="B83" s="470" t="s">
        <v>286</v>
      </c>
      <c r="C83" s="456"/>
      <c r="D83" s="456"/>
      <c r="E83" s="456"/>
      <c r="F83" s="456"/>
      <c r="G83" s="456"/>
      <c r="H83" s="456"/>
      <c r="I83" s="456"/>
      <c r="J83" s="456"/>
      <c r="K83" s="456"/>
      <c r="L83" s="456"/>
      <c r="M83" s="457"/>
      <c r="N83" s="456"/>
      <c r="O83" s="456"/>
      <c r="P83" s="456"/>
      <c r="Q83" s="456"/>
      <c r="R83" s="456"/>
      <c r="S83" s="456"/>
      <c r="T83" s="456"/>
      <c r="U83" s="458">
        <f t="shared" si="20"/>
        <v>0</v>
      </c>
      <c r="V83" s="448"/>
    </row>
    <row r="84" spans="1:22" s="407" customFormat="1" ht="21" customHeight="1" hidden="1">
      <c r="A84" s="454">
        <v>410800</v>
      </c>
      <c r="B84" s="470" t="s">
        <v>348</v>
      </c>
      <c r="C84" s="461"/>
      <c r="D84" s="461"/>
      <c r="E84" s="461"/>
      <c r="F84" s="461"/>
      <c r="G84" s="461"/>
      <c r="H84" s="461"/>
      <c r="I84" s="461"/>
      <c r="J84" s="461"/>
      <c r="K84" s="461"/>
      <c r="L84" s="461"/>
      <c r="M84" s="462"/>
      <c r="N84" s="461"/>
      <c r="O84" s="461"/>
      <c r="P84" s="461"/>
      <c r="Q84" s="461"/>
      <c r="R84" s="461"/>
      <c r="S84" s="461"/>
      <c r="T84" s="461"/>
      <c r="U84" s="458">
        <f t="shared" si="20"/>
        <v>0</v>
      </c>
      <c r="V84" s="448"/>
    </row>
    <row r="85" spans="1:22" s="407" customFormat="1" ht="21" customHeight="1" hidden="1">
      <c r="A85" s="454">
        <v>410900</v>
      </c>
      <c r="B85" s="470" t="s">
        <v>529</v>
      </c>
      <c r="C85" s="461"/>
      <c r="D85" s="461"/>
      <c r="E85" s="461"/>
      <c r="F85" s="461"/>
      <c r="G85" s="461"/>
      <c r="H85" s="461"/>
      <c r="I85" s="461"/>
      <c r="J85" s="461"/>
      <c r="K85" s="461"/>
      <c r="L85" s="461"/>
      <c r="M85" s="462"/>
      <c r="N85" s="461"/>
      <c r="O85" s="461"/>
      <c r="P85" s="461"/>
      <c r="Q85" s="461"/>
      <c r="R85" s="461"/>
      <c r="S85" s="461"/>
      <c r="T85" s="461"/>
      <c r="U85" s="458">
        <f t="shared" si="20"/>
        <v>0</v>
      </c>
      <c r="V85" s="448"/>
    </row>
    <row r="86" spans="1:22" s="407" customFormat="1" ht="21" customHeight="1" hidden="1">
      <c r="A86" s="454">
        <v>411600</v>
      </c>
      <c r="B86" s="470" t="s">
        <v>349</v>
      </c>
      <c r="C86" s="456"/>
      <c r="D86" s="456"/>
      <c r="E86" s="456"/>
      <c r="F86" s="456"/>
      <c r="G86" s="456"/>
      <c r="H86" s="456"/>
      <c r="I86" s="456"/>
      <c r="J86" s="456"/>
      <c r="K86" s="456"/>
      <c r="L86" s="456"/>
      <c r="M86" s="457"/>
      <c r="N86" s="456"/>
      <c r="O86" s="456"/>
      <c r="P86" s="456"/>
      <c r="Q86" s="456"/>
      <c r="R86" s="456"/>
      <c r="S86" s="456"/>
      <c r="T86" s="456"/>
      <c r="U86" s="458">
        <f t="shared" si="20"/>
        <v>0</v>
      </c>
      <c r="V86" s="448"/>
    </row>
    <row r="87" spans="1:22" s="407" customFormat="1" ht="21" customHeight="1" hidden="1">
      <c r="A87" s="454">
        <v>411800</v>
      </c>
      <c r="B87" s="470" t="s">
        <v>287</v>
      </c>
      <c r="C87" s="456"/>
      <c r="D87" s="456"/>
      <c r="E87" s="456"/>
      <c r="F87" s="456"/>
      <c r="G87" s="456"/>
      <c r="H87" s="456"/>
      <c r="I87" s="456"/>
      <c r="J87" s="456"/>
      <c r="K87" s="456"/>
      <c r="L87" s="456"/>
      <c r="M87" s="457"/>
      <c r="N87" s="456"/>
      <c r="O87" s="456"/>
      <c r="P87" s="456"/>
      <c r="Q87" s="456"/>
      <c r="R87" s="456"/>
      <c r="S87" s="456"/>
      <c r="T87" s="456"/>
      <c r="U87" s="458">
        <f t="shared" si="20"/>
        <v>0</v>
      </c>
      <c r="V87" s="448"/>
    </row>
    <row r="88" spans="1:22" s="407" customFormat="1" ht="21" customHeight="1" hidden="1">
      <c r="A88" s="779" t="s">
        <v>252</v>
      </c>
      <c r="B88" s="780"/>
      <c r="C88" s="458">
        <f>SUM(C77:C87)</f>
        <v>0</v>
      </c>
      <c r="D88" s="458">
        <f aca="true" t="shared" si="21" ref="D88:L88">SUM(D77:D87)</f>
        <v>0</v>
      </c>
      <c r="E88" s="458">
        <f t="shared" si="21"/>
        <v>0</v>
      </c>
      <c r="F88" s="458">
        <f t="shared" si="21"/>
        <v>0</v>
      </c>
      <c r="G88" s="458">
        <f t="shared" si="21"/>
        <v>0</v>
      </c>
      <c r="H88" s="458">
        <f t="shared" si="21"/>
        <v>0</v>
      </c>
      <c r="I88" s="458">
        <f t="shared" si="21"/>
        <v>0</v>
      </c>
      <c r="J88" s="458">
        <f t="shared" si="21"/>
        <v>0</v>
      </c>
      <c r="K88" s="458">
        <f t="shared" si="21"/>
        <v>0</v>
      </c>
      <c r="L88" s="458">
        <f t="shared" si="21"/>
        <v>0</v>
      </c>
      <c r="M88" s="464">
        <f>SUM(M77:M87)</f>
        <v>0</v>
      </c>
      <c r="N88" s="458">
        <f>SUM(N77:N87)</f>
        <v>0</v>
      </c>
      <c r="O88" s="458">
        <f>SUM(O77:O87)</f>
        <v>0</v>
      </c>
      <c r="P88" s="458"/>
      <c r="Q88" s="458">
        <f>SUM(Q77:Q87)</f>
        <v>0</v>
      </c>
      <c r="R88" s="458">
        <f>SUM(R77:R87)</f>
        <v>0</v>
      </c>
      <c r="S88" s="458">
        <f>SUM(S77:S87)</f>
        <v>0</v>
      </c>
      <c r="T88" s="458">
        <f>SUM(T77:T87)</f>
        <v>0</v>
      </c>
      <c r="U88" s="458">
        <f t="shared" si="20"/>
        <v>0</v>
      </c>
      <c r="V88" s="448"/>
    </row>
    <row r="89" spans="1:22" s="407" customFormat="1" ht="21" customHeight="1" hidden="1">
      <c r="A89" s="781" t="s">
        <v>253</v>
      </c>
      <c r="B89" s="782"/>
      <c r="C89" s="465">
        <f>+C88</f>
        <v>0</v>
      </c>
      <c r="D89" s="465">
        <f aca="true" t="shared" si="22" ref="D89:U89">+D88</f>
        <v>0</v>
      </c>
      <c r="E89" s="465">
        <f t="shared" si="22"/>
        <v>0</v>
      </c>
      <c r="F89" s="465">
        <f t="shared" si="22"/>
        <v>0</v>
      </c>
      <c r="G89" s="465">
        <f t="shared" si="22"/>
        <v>0</v>
      </c>
      <c r="H89" s="465">
        <f t="shared" si="22"/>
        <v>0</v>
      </c>
      <c r="I89" s="465">
        <f t="shared" si="22"/>
        <v>0</v>
      </c>
      <c r="J89" s="465">
        <f t="shared" si="22"/>
        <v>0</v>
      </c>
      <c r="K89" s="465">
        <f t="shared" si="22"/>
        <v>0</v>
      </c>
      <c r="L89" s="465">
        <f t="shared" si="22"/>
        <v>0</v>
      </c>
      <c r="M89" s="466">
        <f t="shared" si="22"/>
        <v>0</v>
      </c>
      <c r="N89" s="465">
        <f t="shared" si="22"/>
        <v>0</v>
      </c>
      <c r="O89" s="465">
        <f t="shared" si="22"/>
        <v>0</v>
      </c>
      <c r="P89" s="465">
        <f t="shared" si="22"/>
        <v>0</v>
      </c>
      <c r="Q89" s="465">
        <f t="shared" si="22"/>
        <v>0</v>
      </c>
      <c r="R89" s="465">
        <f t="shared" si="22"/>
        <v>0</v>
      </c>
      <c r="S89" s="465">
        <f t="shared" si="22"/>
        <v>0</v>
      </c>
      <c r="T89" s="465">
        <f t="shared" si="22"/>
        <v>0</v>
      </c>
      <c r="U89" s="465">
        <f t="shared" si="22"/>
        <v>0</v>
      </c>
      <c r="V89" s="448"/>
    </row>
    <row r="90" spans="1:22" s="407" customFormat="1" ht="21" customHeight="1" hidden="1">
      <c r="A90" s="785" t="s">
        <v>216</v>
      </c>
      <c r="B90" s="785"/>
      <c r="C90" s="786" t="s">
        <v>218</v>
      </c>
      <c r="D90" s="786"/>
      <c r="E90" s="450" t="s">
        <v>221</v>
      </c>
      <c r="F90" s="786" t="s">
        <v>223</v>
      </c>
      <c r="G90" s="785"/>
      <c r="H90" s="450" t="s">
        <v>237</v>
      </c>
      <c r="I90" s="450" t="s">
        <v>238</v>
      </c>
      <c r="J90" s="776" t="s">
        <v>239</v>
      </c>
      <c r="K90" s="777"/>
      <c r="L90" s="778"/>
      <c r="M90" s="451" t="s">
        <v>240</v>
      </c>
      <c r="N90" s="776" t="s">
        <v>241</v>
      </c>
      <c r="O90" s="777"/>
      <c r="P90" s="778"/>
      <c r="Q90" s="786" t="s">
        <v>242</v>
      </c>
      <c r="R90" s="785"/>
      <c r="S90" s="450" t="s">
        <v>306</v>
      </c>
      <c r="T90" s="450" t="s">
        <v>243</v>
      </c>
      <c r="U90" s="787" t="s">
        <v>17</v>
      </c>
      <c r="V90" s="448"/>
    </row>
    <row r="91" spans="1:22" s="407" customFormat="1" ht="21" customHeight="1" hidden="1">
      <c r="A91" s="785" t="s">
        <v>217</v>
      </c>
      <c r="B91" s="785"/>
      <c r="C91" s="450" t="s">
        <v>219</v>
      </c>
      <c r="D91" s="450" t="s">
        <v>220</v>
      </c>
      <c r="E91" s="450" t="s">
        <v>312</v>
      </c>
      <c r="F91" s="450" t="s">
        <v>224</v>
      </c>
      <c r="G91" s="450" t="s">
        <v>225</v>
      </c>
      <c r="H91" s="450" t="s">
        <v>227</v>
      </c>
      <c r="I91" s="450" t="s">
        <v>228</v>
      </c>
      <c r="J91" s="450" t="s">
        <v>229</v>
      </c>
      <c r="K91" s="450" t="s">
        <v>230</v>
      </c>
      <c r="L91" s="450" t="s">
        <v>431</v>
      </c>
      <c r="M91" s="451" t="s">
        <v>231</v>
      </c>
      <c r="N91" s="450" t="s">
        <v>232</v>
      </c>
      <c r="O91" s="450" t="s">
        <v>233</v>
      </c>
      <c r="P91" s="450" t="s">
        <v>314</v>
      </c>
      <c r="Q91" s="450" t="s">
        <v>234</v>
      </c>
      <c r="R91" s="450" t="s">
        <v>235</v>
      </c>
      <c r="S91" s="450" t="s">
        <v>307</v>
      </c>
      <c r="T91" s="450" t="s">
        <v>236</v>
      </c>
      <c r="U91" s="787"/>
      <c r="V91" s="448"/>
    </row>
    <row r="92" spans="1:22" s="407" customFormat="1" ht="21" customHeight="1" hidden="1">
      <c r="A92" s="783" t="s">
        <v>299</v>
      </c>
      <c r="B92" s="784"/>
      <c r="C92" s="467"/>
      <c r="D92" s="467"/>
      <c r="E92" s="467"/>
      <c r="F92" s="467"/>
      <c r="G92" s="467"/>
      <c r="H92" s="467"/>
      <c r="I92" s="467"/>
      <c r="J92" s="467"/>
      <c r="K92" s="467"/>
      <c r="L92" s="467"/>
      <c r="M92" s="468"/>
      <c r="N92" s="467"/>
      <c r="O92" s="467"/>
      <c r="P92" s="467"/>
      <c r="Q92" s="467"/>
      <c r="R92" s="467"/>
      <c r="S92" s="467"/>
      <c r="T92" s="467"/>
      <c r="U92" s="469">
        <f>SUM(C92:T92)</f>
        <v>0</v>
      </c>
      <c r="V92" s="448"/>
    </row>
    <row r="93" spans="1:22" s="407" customFormat="1" ht="21" customHeight="1" hidden="1">
      <c r="A93" s="454">
        <v>429000</v>
      </c>
      <c r="B93" s="455" t="s">
        <v>10</v>
      </c>
      <c r="C93" s="456"/>
      <c r="D93" s="456"/>
      <c r="E93" s="456"/>
      <c r="F93" s="456"/>
      <c r="G93" s="456"/>
      <c r="H93" s="456"/>
      <c r="I93" s="456"/>
      <c r="J93" s="456"/>
      <c r="K93" s="456"/>
      <c r="L93" s="456"/>
      <c r="M93" s="457"/>
      <c r="N93" s="456"/>
      <c r="O93" s="456"/>
      <c r="P93" s="456"/>
      <c r="Q93" s="456"/>
      <c r="R93" s="456"/>
      <c r="S93" s="456"/>
      <c r="T93" s="456"/>
      <c r="U93" s="458">
        <f>SUM(C93:T93)</f>
        <v>0</v>
      </c>
      <c r="V93" s="448"/>
    </row>
    <row r="94" spans="1:22" s="407" customFormat="1" ht="21" customHeight="1" hidden="1">
      <c r="A94" s="459">
        <v>421000</v>
      </c>
      <c r="B94" s="460" t="s">
        <v>303</v>
      </c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2"/>
      <c r="N94" s="461"/>
      <c r="O94" s="461"/>
      <c r="P94" s="461"/>
      <c r="Q94" s="461"/>
      <c r="R94" s="461"/>
      <c r="S94" s="461"/>
      <c r="T94" s="461"/>
      <c r="U94" s="463">
        <f>SUM(C94:T94)</f>
        <v>0</v>
      </c>
      <c r="V94" s="448"/>
    </row>
    <row r="95" spans="1:22" s="407" customFormat="1" ht="21" customHeight="1" hidden="1">
      <c r="A95" s="779" t="s">
        <v>252</v>
      </c>
      <c r="B95" s="780"/>
      <c r="C95" s="458">
        <f>SUM(C93:C94)</f>
        <v>0</v>
      </c>
      <c r="D95" s="458">
        <f aca="true" t="shared" si="23" ref="D95:S95">SUM(D93:D94)</f>
        <v>0</v>
      </c>
      <c r="E95" s="458">
        <f t="shared" si="23"/>
        <v>0</v>
      </c>
      <c r="F95" s="458">
        <f t="shared" si="23"/>
        <v>0</v>
      </c>
      <c r="G95" s="458">
        <f t="shared" si="23"/>
        <v>0</v>
      </c>
      <c r="H95" s="458">
        <f t="shared" si="23"/>
        <v>0</v>
      </c>
      <c r="I95" s="458">
        <f t="shared" si="23"/>
        <v>0</v>
      </c>
      <c r="J95" s="458">
        <f t="shared" si="23"/>
        <v>0</v>
      </c>
      <c r="K95" s="458">
        <f t="shared" si="23"/>
        <v>0</v>
      </c>
      <c r="L95" s="458">
        <f t="shared" si="23"/>
        <v>0</v>
      </c>
      <c r="M95" s="464">
        <f t="shared" si="23"/>
        <v>0</v>
      </c>
      <c r="N95" s="458">
        <f t="shared" si="23"/>
        <v>0</v>
      </c>
      <c r="O95" s="458">
        <f t="shared" si="23"/>
        <v>0</v>
      </c>
      <c r="P95" s="458">
        <f t="shared" si="23"/>
        <v>0</v>
      </c>
      <c r="Q95" s="458">
        <f t="shared" si="23"/>
        <v>0</v>
      </c>
      <c r="R95" s="458">
        <f t="shared" si="23"/>
        <v>0</v>
      </c>
      <c r="S95" s="458">
        <f t="shared" si="23"/>
        <v>0</v>
      </c>
      <c r="T95" s="458">
        <f>SUM(T93:T94)</f>
        <v>0</v>
      </c>
      <c r="U95" s="458">
        <f>SUM(C95:T95)</f>
        <v>0</v>
      </c>
      <c r="V95" s="448"/>
    </row>
    <row r="96" spans="1:22" s="407" customFormat="1" ht="21" customHeight="1" hidden="1">
      <c r="A96" s="781" t="s">
        <v>253</v>
      </c>
      <c r="B96" s="782"/>
      <c r="C96" s="465">
        <f>+C95</f>
        <v>0</v>
      </c>
      <c r="D96" s="465">
        <f aca="true" t="shared" si="24" ref="D96:U96">+D95</f>
        <v>0</v>
      </c>
      <c r="E96" s="465">
        <f t="shared" si="24"/>
        <v>0</v>
      </c>
      <c r="F96" s="465">
        <f t="shared" si="24"/>
        <v>0</v>
      </c>
      <c r="G96" s="465">
        <f t="shared" si="24"/>
        <v>0</v>
      </c>
      <c r="H96" s="465">
        <f t="shared" si="24"/>
        <v>0</v>
      </c>
      <c r="I96" s="465">
        <f t="shared" si="24"/>
        <v>0</v>
      </c>
      <c r="J96" s="465">
        <f t="shared" si="24"/>
        <v>0</v>
      </c>
      <c r="K96" s="465">
        <f t="shared" si="24"/>
        <v>0</v>
      </c>
      <c r="L96" s="465">
        <f t="shared" si="24"/>
        <v>0</v>
      </c>
      <c r="M96" s="466">
        <f t="shared" si="24"/>
        <v>0</v>
      </c>
      <c r="N96" s="465">
        <f t="shared" si="24"/>
        <v>0</v>
      </c>
      <c r="O96" s="465">
        <f t="shared" si="24"/>
        <v>0</v>
      </c>
      <c r="P96" s="465">
        <f t="shared" si="24"/>
        <v>0</v>
      </c>
      <c r="Q96" s="465">
        <f t="shared" si="24"/>
        <v>0</v>
      </c>
      <c r="R96" s="465">
        <f t="shared" si="24"/>
        <v>0</v>
      </c>
      <c r="S96" s="465">
        <f t="shared" si="24"/>
        <v>0</v>
      </c>
      <c r="T96" s="465">
        <f t="shared" si="24"/>
        <v>0</v>
      </c>
      <c r="U96" s="465">
        <f t="shared" si="24"/>
        <v>0</v>
      </c>
      <c r="V96" s="448"/>
    </row>
    <row r="97" spans="1:22" s="407" customFormat="1" ht="21" customHeight="1" hidden="1">
      <c r="A97" s="783" t="s">
        <v>300</v>
      </c>
      <c r="B97" s="784"/>
      <c r="C97" s="467"/>
      <c r="D97" s="467"/>
      <c r="E97" s="467"/>
      <c r="F97" s="467"/>
      <c r="G97" s="467"/>
      <c r="H97" s="467"/>
      <c r="I97" s="467"/>
      <c r="J97" s="467"/>
      <c r="K97" s="467"/>
      <c r="L97" s="467"/>
      <c r="M97" s="468"/>
      <c r="N97" s="467"/>
      <c r="O97" s="467"/>
      <c r="P97" s="467"/>
      <c r="Q97" s="467"/>
      <c r="R97" s="467"/>
      <c r="S97" s="467"/>
      <c r="T97" s="467"/>
      <c r="U97" s="469">
        <f>SUM(C97:T97)</f>
        <v>0</v>
      </c>
      <c r="V97" s="448"/>
    </row>
    <row r="98" spans="1:22" s="407" customFormat="1" ht="21" customHeight="1" hidden="1">
      <c r="A98" s="454">
        <v>610100</v>
      </c>
      <c r="B98" s="475" t="s">
        <v>302</v>
      </c>
      <c r="C98" s="456"/>
      <c r="D98" s="456"/>
      <c r="E98" s="456"/>
      <c r="F98" s="456"/>
      <c r="G98" s="456"/>
      <c r="H98" s="456"/>
      <c r="I98" s="456"/>
      <c r="J98" s="456"/>
      <c r="K98" s="456"/>
      <c r="L98" s="456"/>
      <c r="M98" s="457"/>
      <c r="N98" s="456"/>
      <c r="O98" s="456"/>
      <c r="P98" s="456"/>
      <c r="Q98" s="456"/>
      <c r="R98" s="456"/>
      <c r="S98" s="456"/>
      <c r="T98" s="456"/>
      <c r="U98" s="458">
        <f>SUM(C98:T98)</f>
        <v>0</v>
      </c>
      <c r="V98" s="448"/>
    </row>
    <row r="99" spans="1:22" s="407" customFormat="1" ht="21" customHeight="1" hidden="1">
      <c r="A99" s="454">
        <v>610200</v>
      </c>
      <c r="B99" s="455" t="s">
        <v>288</v>
      </c>
      <c r="C99" s="456"/>
      <c r="D99" s="456"/>
      <c r="E99" s="456"/>
      <c r="F99" s="456"/>
      <c r="G99" s="456"/>
      <c r="H99" s="456"/>
      <c r="I99" s="456"/>
      <c r="J99" s="456"/>
      <c r="K99" s="456"/>
      <c r="L99" s="456"/>
      <c r="M99" s="457"/>
      <c r="N99" s="456"/>
      <c r="O99" s="456"/>
      <c r="P99" s="456"/>
      <c r="Q99" s="456"/>
      <c r="R99" s="456"/>
      <c r="S99" s="456"/>
      <c r="T99" s="456"/>
      <c r="U99" s="458">
        <f>SUM(C99:T99)</f>
        <v>0</v>
      </c>
      <c r="V99" s="448"/>
    </row>
    <row r="100" spans="1:22" s="407" customFormat="1" ht="21" customHeight="1" hidden="1">
      <c r="A100" s="459">
        <v>610400</v>
      </c>
      <c r="B100" s="460" t="s">
        <v>301</v>
      </c>
      <c r="C100" s="461"/>
      <c r="D100" s="461"/>
      <c r="E100" s="461"/>
      <c r="F100" s="461"/>
      <c r="G100" s="461"/>
      <c r="H100" s="461"/>
      <c r="I100" s="461"/>
      <c r="J100" s="461"/>
      <c r="K100" s="461"/>
      <c r="L100" s="461"/>
      <c r="M100" s="462"/>
      <c r="N100" s="461"/>
      <c r="O100" s="461"/>
      <c r="P100" s="461"/>
      <c r="Q100" s="461"/>
      <c r="R100" s="461"/>
      <c r="S100" s="461"/>
      <c r="T100" s="461"/>
      <c r="U100" s="463">
        <f>SUM(C100:T100)</f>
        <v>0</v>
      </c>
      <c r="V100" s="448"/>
    </row>
    <row r="101" spans="1:22" s="407" customFormat="1" ht="21" customHeight="1" hidden="1">
      <c r="A101" s="779" t="s">
        <v>252</v>
      </c>
      <c r="B101" s="780"/>
      <c r="C101" s="458">
        <f aca="true" t="shared" si="25" ref="C101:O101">SUM(C98:C100)</f>
        <v>0</v>
      </c>
      <c r="D101" s="458">
        <f t="shared" si="25"/>
        <v>0</v>
      </c>
      <c r="E101" s="458">
        <f t="shared" si="25"/>
        <v>0</v>
      </c>
      <c r="F101" s="458">
        <f t="shared" si="25"/>
        <v>0</v>
      </c>
      <c r="G101" s="458">
        <f t="shared" si="25"/>
        <v>0</v>
      </c>
      <c r="H101" s="458">
        <f t="shared" si="25"/>
        <v>0</v>
      </c>
      <c r="I101" s="458">
        <f t="shared" si="25"/>
        <v>0</v>
      </c>
      <c r="J101" s="458">
        <f t="shared" si="25"/>
        <v>0</v>
      </c>
      <c r="K101" s="458">
        <f t="shared" si="25"/>
        <v>0</v>
      </c>
      <c r="L101" s="458">
        <f t="shared" si="25"/>
        <v>0</v>
      </c>
      <c r="M101" s="464">
        <f t="shared" si="25"/>
        <v>0</v>
      </c>
      <c r="N101" s="458">
        <f t="shared" si="25"/>
        <v>0</v>
      </c>
      <c r="O101" s="458">
        <f t="shared" si="25"/>
        <v>0</v>
      </c>
      <c r="P101" s="458"/>
      <c r="Q101" s="458">
        <f>SUM(Q98:Q100)</f>
        <v>0</v>
      </c>
      <c r="R101" s="458">
        <f>SUM(R98:R100)</f>
        <v>0</v>
      </c>
      <c r="S101" s="458">
        <f>SUM(S98:S100)</f>
        <v>0</v>
      </c>
      <c r="T101" s="458">
        <f>SUM(T98:T100)</f>
        <v>0</v>
      </c>
      <c r="U101" s="458">
        <f>SUM(C101:T101)</f>
        <v>0</v>
      </c>
      <c r="V101" s="448"/>
    </row>
    <row r="102" spans="1:22" s="407" customFormat="1" ht="21" customHeight="1" hidden="1">
      <c r="A102" s="781" t="s">
        <v>253</v>
      </c>
      <c r="B102" s="782"/>
      <c r="C102" s="465">
        <f>+C101</f>
        <v>0</v>
      </c>
      <c r="D102" s="465">
        <f aca="true" t="shared" si="26" ref="D102:U102">+D101</f>
        <v>0</v>
      </c>
      <c r="E102" s="465">
        <f t="shared" si="26"/>
        <v>0</v>
      </c>
      <c r="F102" s="465">
        <f t="shared" si="26"/>
        <v>0</v>
      </c>
      <c r="G102" s="465">
        <f t="shared" si="26"/>
        <v>0</v>
      </c>
      <c r="H102" s="465">
        <f t="shared" si="26"/>
        <v>0</v>
      </c>
      <c r="I102" s="465">
        <f t="shared" si="26"/>
        <v>0</v>
      </c>
      <c r="J102" s="465">
        <f t="shared" si="26"/>
        <v>0</v>
      </c>
      <c r="K102" s="465">
        <f t="shared" si="26"/>
        <v>0</v>
      </c>
      <c r="L102" s="465">
        <f t="shared" si="26"/>
        <v>0</v>
      </c>
      <c r="M102" s="466">
        <f t="shared" si="26"/>
        <v>0</v>
      </c>
      <c r="N102" s="465">
        <f t="shared" si="26"/>
        <v>0</v>
      </c>
      <c r="O102" s="465">
        <f t="shared" si="26"/>
        <v>0</v>
      </c>
      <c r="P102" s="465">
        <f t="shared" si="26"/>
        <v>0</v>
      </c>
      <c r="Q102" s="465">
        <f t="shared" si="26"/>
        <v>0</v>
      </c>
      <c r="R102" s="465">
        <f t="shared" si="26"/>
        <v>0</v>
      </c>
      <c r="S102" s="465">
        <f t="shared" si="26"/>
        <v>0</v>
      </c>
      <c r="T102" s="465">
        <f t="shared" si="26"/>
        <v>0</v>
      </c>
      <c r="U102" s="465">
        <f t="shared" si="26"/>
        <v>0</v>
      </c>
      <c r="V102" s="448"/>
    </row>
    <row r="103" spans="1:22" s="407" customFormat="1" ht="21" customHeight="1" hidden="1">
      <c r="A103" s="783" t="s">
        <v>304</v>
      </c>
      <c r="B103" s="784"/>
      <c r="C103" s="467"/>
      <c r="D103" s="467"/>
      <c r="E103" s="467"/>
      <c r="F103" s="467"/>
      <c r="G103" s="467"/>
      <c r="H103" s="467"/>
      <c r="I103" s="467"/>
      <c r="J103" s="467"/>
      <c r="K103" s="467"/>
      <c r="L103" s="467"/>
      <c r="M103" s="468"/>
      <c r="N103" s="467"/>
      <c r="O103" s="467"/>
      <c r="P103" s="467"/>
      <c r="Q103" s="467"/>
      <c r="R103" s="467"/>
      <c r="S103" s="467"/>
      <c r="T103" s="467"/>
      <c r="U103" s="469">
        <f>SUM(C103:T103)</f>
        <v>0</v>
      </c>
      <c r="V103" s="448"/>
    </row>
    <row r="104" spans="1:22" s="407" customFormat="1" ht="21" customHeight="1" hidden="1">
      <c r="A104" s="454">
        <v>551000</v>
      </c>
      <c r="B104" s="455" t="s">
        <v>12</v>
      </c>
      <c r="C104" s="456"/>
      <c r="D104" s="456"/>
      <c r="E104" s="456"/>
      <c r="F104" s="456"/>
      <c r="G104" s="456"/>
      <c r="H104" s="456"/>
      <c r="I104" s="456"/>
      <c r="J104" s="456"/>
      <c r="K104" s="456"/>
      <c r="L104" s="456"/>
      <c r="M104" s="457"/>
      <c r="N104" s="456"/>
      <c r="O104" s="456"/>
      <c r="P104" s="456"/>
      <c r="Q104" s="456"/>
      <c r="R104" s="456"/>
      <c r="S104" s="456"/>
      <c r="T104" s="456"/>
      <c r="U104" s="458">
        <f>SUM(C104:T104)</f>
        <v>0</v>
      </c>
      <c r="V104" s="448"/>
    </row>
    <row r="105" spans="1:22" s="407" customFormat="1" ht="21" customHeight="1" hidden="1">
      <c r="A105" s="459">
        <v>510100</v>
      </c>
      <c r="B105" s="460" t="s">
        <v>305</v>
      </c>
      <c r="C105" s="461"/>
      <c r="D105" s="461"/>
      <c r="E105" s="461"/>
      <c r="F105" s="461"/>
      <c r="G105" s="461"/>
      <c r="H105" s="461"/>
      <c r="I105" s="461"/>
      <c r="J105" s="461"/>
      <c r="K105" s="461"/>
      <c r="L105" s="461"/>
      <c r="M105" s="462"/>
      <c r="N105" s="461"/>
      <c r="O105" s="461"/>
      <c r="P105" s="461"/>
      <c r="Q105" s="461"/>
      <c r="R105" s="461"/>
      <c r="S105" s="461"/>
      <c r="T105" s="461"/>
      <c r="U105" s="463">
        <f>SUM(C105:T105)</f>
        <v>0</v>
      </c>
      <c r="V105" s="448"/>
    </row>
    <row r="106" spans="1:22" s="407" customFormat="1" ht="21" customHeight="1" hidden="1">
      <c r="A106" s="779" t="s">
        <v>252</v>
      </c>
      <c r="B106" s="780"/>
      <c r="C106" s="458">
        <f>SUM(C104:C105)</f>
        <v>0</v>
      </c>
      <c r="D106" s="458">
        <f aca="true" t="shared" si="27" ref="D106:O106">SUM(D104:D105)</f>
        <v>0</v>
      </c>
      <c r="E106" s="458">
        <f t="shared" si="27"/>
        <v>0</v>
      </c>
      <c r="F106" s="458">
        <f t="shared" si="27"/>
        <v>0</v>
      </c>
      <c r="G106" s="458">
        <f t="shared" si="27"/>
        <v>0</v>
      </c>
      <c r="H106" s="458">
        <f t="shared" si="27"/>
        <v>0</v>
      </c>
      <c r="I106" s="458">
        <f t="shared" si="27"/>
        <v>0</v>
      </c>
      <c r="J106" s="458">
        <f t="shared" si="27"/>
        <v>0</v>
      </c>
      <c r="K106" s="458">
        <f t="shared" si="27"/>
        <v>0</v>
      </c>
      <c r="L106" s="458">
        <f t="shared" si="27"/>
        <v>0</v>
      </c>
      <c r="M106" s="464">
        <f t="shared" si="27"/>
        <v>0</v>
      </c>
      <c r="N106" s="458">
        <f t="shared" si="27"/>
        <v>0</v>
      </c>
      <c r="O106" s="458">
        <f t="shared" si="27"/>
        <v>0</v>
      </c>
      <c r="P106" s="458"/>
      <c r="Q106" s="458">
        <f>SUM(Q104:Q105)</f>
        <v>0</v>
      </c>
      <c r="R106" s="458">
        <f>SUM(R104:R105)</f>
        <v>0</v>
      </c>
      <c r="S106" s="458">
        <f>SUM(S104:S105)</f>
        <v>0</v>
      </c>
      <c r="T106" s="458">
        <f>SUM(T104:T105)</f>
        <v>0</v>
      </c>
      <c r="U106" s="458">
        <f>SUM(C106:T106)</f>
        <v>0</v>
      </c>
      <c r="V106" s="448"/>
    </row>
    <row r="107" spans="1:23" s="407" customFormat="1" ht="21" customHeight="1" hidden="1">
      <c r="A107" s="781" t="s">
        <v>253</v>
      </c>
      <c r="B107" s="782"/>
      <c r="C107" s="465">
        <f>+C106</f>
        <v>0</v>
      </c>
      <c r="D107" s="465">
        <f aca="true" t="shared" si="28" ref="D107:U107">+D106</f>
        <v>0</v>
      </c>
      <c r="E107" s="465">
        <f t="shared" si="28"/>
        <v>0</v>
      </c>
      <c r="F107" s="465">
        <f t="shared" si="28"/>
        <v>0</v>
      </c>
      <c r="G107" s="465">
        <f t="shared" si="28"/>
        <v>0</v>
      </c>
      <c r="H107" s="465">
        <f t="shared" si="28"/>
        <v>0</v>
      </c>
      <c r="I107" s="465">
        <f t="shared" si="28"/>
        <v>0</v>
      </c>
      <c r="J107" s="465">
        <f t="shared" si="28"/>
        <v>0</v>
      </c>
      <c r="K107" s="465">
        <f t="shared" si="28"/>
        <v>0</v>
      </c>
      <c r="L107" s="465">
        <f t="shared" si="28"/>
        <v>0</v>
      </c>
      <c r="M107" s="466">
        <f t="shared" si="28"/>
        <v>0</v>
      </c>
      <c r="N107" s="465">
        <f t="shared" si="28"/>
        <v>0</v>
      </c>
      <c r="O107" s="465">
        <f t="shared" si="28"/>
        <v>0</v>
      </c>
      <c r="P107" s="465">
        <f t="shared" si="28"/>
        <v>0</v>
      </c>
      <c r="Q107" s="465">
        <f t="shared" si="28"/>
        <v>0</v>
      </c>
      <c r="R107" s="465">
        <f t="shared" si="28"/>
        <v>0</v>
      </c>
      <c r="S107" s="465">
        <f t="shared" si="28"/>
        <v>0</v>
      </c>
      <c r="T107" s="465">
        <f t="shared" si="28"/>
        <v>0</v>
      </c>
      <c r="U107" s="465">
        <f t="shared" si="28"/>
        <v>0</v>
      </c>
      <c r="V107" s="448"/>
      <c r="W107" s="407" t="s">
        <v>531</v>
      </c>
    </row>
    <row r="108" spans="1:24" s="407" customFormat="1" ht="21" customHeight="1" hidden="1">
      <c r="A108" s="723" t="s">
        <v>252</v>
      </c>
      <c r="B108" s="773"/>
      <c r="C108" s="402">
        <f aca="true" t="shared" si="29" ref="C108:T108">SUM(C14,C22,C34,C43,C50,C67,C74,C88,C95,C101,C106)</f>
        <v>607764.12</v>
      </c>
      <c r="D108" s="402">
        <f t="shared" si="29"/>
        <v>123360</v>
      </c>
      <c r="E108" s="402">
        <f t="shared" si="29"/>
        <v>0</v>
      </c>
      <c r="F108" s="402">
        <f t="shared" si="29"/>
        <v>900</v>
      </c>
      <c r="G108" s="402">
        <f t="shared" si="29"/>
        <v>0</v>
      </c>
      <c r="H108" s="402">
        <f t="shared" si="29"/>
        <v>0</v>
      </c>
      <c r="I108" s="402">
        <f t="shared" si="29"/>
        <v>0</v>
      </c>
      <c r="J108" s="402">
        <f t="shared" si="29"/>
        <v>63505</v>
      </c>
      <c r="K108" s="402">
        <f t="shared" si="29"/>
        <v>0</v>
      </c>
      <c r="L108" s="402">
        <f t="shared" si="29"/>
        <v>13310</v>
      </c>
      <c r="M108" s="476">
        <f t="shared" si="29"/>
        <v>0</v>
      </c>
      <c r="N108" s="402">
        <f t="shared" si="29"/>
        <v>0</v>
      </c>
      <c r="O108" s="402">
        <f t="shared" si="29"/>
        <v>0</v>
      </c>
      <c r="P108" s="402">
        <f t="shared" si="29"/>
        <v>0</v>
      </c>
      <c r="Q108" s="402">
        <f t="shared" si="29"/>
        <v>0</v>
      </c>
      <c r="R108" s="402">
        <f t="shared" si="29"/>
        <v>0</v>
      </c>
      <c r="S108" s="402">
        <f t="shared" si="29"/>
        <v>47575.29</v>
      </c>
      <c r="T108" s="402">
        <f t="shared" si="29"/>
        <v>7500</v>
      </c>
      <c r="U108" s="402">
        <f>SUM(C108:T108)</f>
        <v>863914.41</v>
      </c>
      <c r="V108" s="448">
        <f>+งบดุลบัญชี!K109</f>
        <v>863914.4099999999</v>
      </c>
      <c r="W108" s="477">
        <v>750</v>
      </c>
      <c r="X108" s="478">
        <f>+V108-W108</f>
        <v>863164.4099999999</v>
      </c>
    </row>
    <row r="109" spans="1:24" s="407" customFormat="1" ht="21" customHeight="1" hidden="1">
      <c r="A109" s="774" t="s">
        <v>253</v>
      </c>
      <c r="B109" s="775"/>
      <c r="C109" s="392">
        <f aca="true" t="shared" si="30" ref="C109:T109">SUM(C15,C23,C35,C44,C51,C68,C75,C89,C96,C102,C107)</f>
        <v>607764.12</v>
      </c>
      <c r="D109" s="392">
        <f t="shared" si="30"/>
        <v>123360</v>
      </c>
      <c r="E109" s="392">
        <f t="shared" si="30"/>
        <v>0</v>
      </c>
      <c r="F109" s="392">
        <f t="shared" si="30"/>
        <v>900</v>
      </c>
      <c r="G109" s="392">
        <f t="shared" si="30"/>
        <v>0</v>
      </c>
      <c r="H109" s="392">
        <f t="shared" si="30"/>
        <v>0</v>
      </c>
      <c r="I109" s="392">
        <f t="shared" si="30"/>
        <v>0</v>
      </c>
      <c r="J109" s="392">
        <f t="shared" si="30"/>
        <v>63505</v>
      </c>
      <c r="K109" s="392">
        <f t="shared" si="30"/>
        <v>0</v>
      </c>
      <c r="L109" s="392">
        <f t="shared" si="30"/>
        <v>13310</v>
      </c>
      <c r="M109" s="479">
        <f t="shared" si="30"/>
        <v>0</v>
      </c>
      <c r="N109" s="392">
        <f t="shared" si="30"/>
        <v>0</v>
      </c>
      <c r="O109" s="392">
        <f t="shared" si="30"/>
        <v>0</v>
      </c>
      <c r="P109" s="392">
        <f t="shared" si="30"/>
        <v>0</v>
      </c>
      <c r="Q109" s="392">
        <f t="shared" si="30"/>
        <v>0</v>
      </c>
      <c r="R109" s="392">
        <f t="shared" si="30"/>
        <v>0</v>
      </c>
      <c r="S109" s="392">
        <f t="shared" si="30"/>
        <v>47575.29</v>
      </c>
      <c r="T109" s="392">
        <f t="shared" si="30"/>
        <v>7500</v>
      </c>
      <c r="U109" s="392">
        <f>SUM(C109:T109)</f>
        <v>863914.41</v>
      </c>
      <c r="V109" s="448">
        <f>+V108-U108</f>
        <v>0</v>
      </c>
      <c r="X109" s="474">
        <f>+X108-U108</f>
        <v>-750.0000000001164</v>
      </c>
    </row>
    <row r="110" spans="1:24" ht="21" customHeight="1">
      <c r="A110" s="763" t="s">
        <v>621</v>
      </c>
      <c r="B110" s="763"/>
      <c r="C110" s="763"/>
      <c r="D110" s="763"/>
      <c r="E110" s="763"/>
      <c r="F110" s="763"/>
      <c r="G110" s="763"/>
      <c r="H110" s="763"/>
      <c r="I110" s="763"/>
      <c r="J110" s="763"/>
      <c r="K110" s="763"/>
      <c r="L110" s="763"/>
      <c r="M110" s="762" t="str">
        <f>+A110</f>
        <v>เทศบาลตำบลเขาพระ อำเภอพิปูน จังหวัดนครศรีธรรมราช</v>
      </c>
      <c r="N110" s="762"/>
      <c r="O110" s="762"/>
      <c r="P110" s="762"/>
      <c r="Q110" s="762"/>
      <c r="R110" s="762"/>
      <c r="S110" s="762"/>
      <c r="T110" s="762"/>
      <c r="U110" s="762"/>
      <c r="X110" s="211"/>
    </row>
    <row r="111" spans="1:22" ht="21" customHeight="1">
      <c r="A111" s="763" t="s">
        <v>215</v>
      </c>
      <c r="B111" s="763"/>
      <c r="C111" s="763"/>
      <c r="D111" s="763"/>
      <c r="E111" s="763"/>
      <c r="F111" s="763"/>
      <c r="G111" s="763"/>
      <c r="H111" s="763"/>
      <c r="I111" s="763"/>
      <c r="J111" s="763"/>
      <c r="K111" s="763"/>
      <c r="L111" s="763"/>
      <c r="M111" s="763" t="s">
        <v>215</v>
      </c>
      <c r="N111" s="763"/>
      <c r="O111" s="763"/>
      <c r="P111" s="763"/>
      <c r="Q111" s="763"/>
      <c r="R111" s="763"/>
      <c r="S111" s="763"/>
      <c r="T111" s="763"/>
      <c r="U111" s="763"/>
      <c r="V111" s="177">
        <f>+V109+U108</f>
        <v>863914.41</v>
      </c>
    </row>
    <row r="112" spans="1:21" ht="21" customHeight="1">
      <c r="A112" s="764" t="s">
        <v>616</v>
      </c>
      <c r="B112" s="764"/>
      <c r="C112" s="764"/>
      <c r="D112" s="764"/>
      <c r="E112" s="764"/>
      <c r="F112" s="764"/>
      <c r="G112" s="764"/>
      <c r="H112" s="764"/>
      <c r="I112" s="764"/>
      <c r="J112" s="764"/>
      <c r="K112" s="764"/>
      <c r="L112" s="764"/>
      <c r="M112" s="764" t="s">
        <v>616</v>
      </c>
      <c r="N112" s="764"/>
      <c r="O112" s="764"/>
      <c r="P112" s="764"/>
      <c r="Q112" s="764"/>
      <c r="R112" s="764"/>
      <c r="S112" s="764"/>
      <c r="T112" s="764"/>
      <c r="U112" s="764"/>
    </row>
    <row r="113" spans="1:21" ht="21" customHeight="1">
      <c r="A113" s="769" t="s">
        <v>216</v>
      </c>
      <c r="B113" s="769"/>
      <c r="C113" s="768" t="s">
        <v>218</v>
      </c>
      <c r="D113" s="768"/>
      <c r="E113" s="446" t="s">
        <v>221</v>
      </c>
      <c r="F113" s="768" t="s">
        <v>223</v>
      </c>
      <c r="G113" s="769"/>
      <c r="H113" s="446" t="s">
        <v>237</v>
      </c>
      <c r="I113" s="446" t="s">
        <v>238</v>
      </c>
      <c r="J113" s="765" t="s">
        <v>239</v>
      </c>
      <c r="K113" s="766"/>
      <c r="L113" s="767"/>
      <c r="M113" s="445" t="s">
        <v>240</v>
      </c>
      <c r="N113" s="765" t="s">
        <v>241</v>
      </c>
      <c r="O113" s="766"/>
      <c r="P113" s="767"/>
      <c r="Q113" s="768" t="s">
        <v>242</v>
      </c>
      <c r="R113" s="769"/>
      <c r="S113" s="446" t="s">
        <v>306</v>
      </c>
      <c r="T113" s="446" t="s">
        <v>243</v>
      </c>
      <c r="U113" s="770" t="s">
        <v>17</v>
      </c>
    </row>
    <row r="114" spans="1:21" ht="21" customHeight="1">
      <c r="A114" s="769" t="s">
        <v>217</v>
      </c>
      <c r="B114" s="769"/>
      <c r="C114" s="446" t="s">
        <v>219</v>
      </c>
      <c r="D114" s="446" t="s">
        <v>220</v>
      </c>
      <c r="E114" s="446" t="s">
        <v>312</v>
      </c>
      <c r="F114" s="446" t="s">
        <v>224</v>
      </c>
      <c r="G114" s="446" t="s">
        <v>225</v>
      </c>
      <c r="H114" s="446" t="s">
        <v>227</v>
      </c>
      <c r="I114" s="446" t="s">
        <v>228</v>
      </c>
      <c r="J114" s="446" t="s">
        <v>229</v>
      </c>
      <c r="K114" s="446" t="s">
        <v>230</v>
      </c>
      <c r="L114" s="446" t="s">
        <v>431</v>
      </c>
      <c r="M114" s="445" t="s">
        <v>231</v>
      </c>
      <c r="N114" s="446" t="s">
        <v>232</v>
      </c>
      <c r="O114" s="446" t="s">
        <v>233</v>
      </c>
      <c r="P114" s="446" t="s">
        <v>314</v>
      </c>
      <c r="Q114" s="446" t="s">
        <v>234</v>
      </c>
      <c r="R114" s="446" t="s">
        <v>235</v>
      </c>
      <c r="S114" s="446" t="s">
        <v>307</v>
      </c>
      <c r="T114" s="446" t="s">
        <v>236</v>
      </c>
      <c r="U114" s="770"/>
    </row>
    <row r="115" spans="1:21" ht="21" customHeight="1">
      <c r="A115" s="771" t="s">
        <v>290</v>
      </c>
      <c r="B115" s="772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430"/>
      <c r="N115" s="178"/>
      <c r="O115" s="178"/>
      <c r="P115" s="178"/>
      <c r="Q115" s="178"/>
      <c r="R115" s="178"/>
      <c r="S115" s="178"/>
      <c r="T115" s="178"/>
      <c r="U115" s="178"/>
    </row>
    <row r="116" spans="1:21" ht="21" customHeight="1">
      <c r="A116" s="179">
        <v>110300</v>
      </c>
      <c r="B116" s="180" t="s">
        <v>244</v>
      </c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431"/>
      <c r="N116" s="91"/>
      <c r="O116" s="91"/>
      <c r="P116" s="91"/>
      <c r="Q116" s="91"/>
      <c r="R116" s="91"/>
      <c r="S116" s="91"/>
      <c r="T116" s="91">
        <f>1512+14160</f>
        <v>15672</v>
      </c>
      <c r="U116" s="181">
        <f>SUM(C116:T116)</f>
        <v>15672</v>
      </c>
    </row>
    <row r="117" spans="1:21" ht="21" customHeight="1">
      <c r="A117" s="179">
        <v>110700</v>
      </c>
      <c r="B117" s="180" t="s">
        <v>127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431"/>
      <c r="N117" s="91"/>
      <c r="O117" s="91"/>
      <c r="P117" s="91"/>
      <c r="Q117" s="91"/>
      <c r="R117" s="91"/>
      <c r="S117" s="91"/>
      <c r="T117" s="91"/>
      <c r="U117" s="181">
        <f aca="true" t="shared" si="31" ref="U117:U122">SUM(C117:T117)</f>
        <v>0</v>
      </c>
    </row>
    <row r="118" spans="1:21" ht="21" customHeight="1">
      <c r="A118" s="179">
        <v>110800</v>
      </c>
      <c r="B118" s="180" t="s">
        <v>133</v>
      </c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431"/>
      <c r="N118" s="91"/>
      <c r="O118" s="91"/>
      <c r="P118" s="91"/>
      <c r="Q118" s="91"/>
      <c r="R118" s="91"/>
      <c r="S118" s="91"/>
      <c r="T118" s="91"/>
      <c r="U118" s="181">
        <f t="shared" si="31"/>
        <v>0</v>
      </c>
    </row>
    <row r="119" spans="1:21" ht="21" customHeight="1">
      <c r="A119" s="179">
        <v>110900</v>
      </c>
      <c r="B119" s="180" t="s">
        <v>134</v>
      </c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431"/>
      <c r="N119" s="91"/>
      <c r="O119" s="91"/>
      <c r="P119" s="91"/>
      <c r="Q119" s="91"/>
      <c r="R119" s="91"/>
      <c r="S119" s="91"/>
      <c r="T119" s="91">
        <v>7500</v>
      </c>
      <c r="U119" s="181">
        <f t="shared" si="31"/>
        <v>7500</v>
      </c>
    </row>
    <row r="120" spans="1:21" ht="21" customHeight="1">
      <c r="A120" s="179">
        <v>111000</v>
      </c>
      <c r="B120" s="180" t="s">
        <v>135</v>
      </c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431"/>
      <c r="N120" s="91"/>
      <c r="O120" s="91"/>
      <c r="P120" s="91"/>
      <c r="Q120" s="91"/>
      <c r="R120" s="91"/>
      <c r="S120" s="91"/>
      <c r="T120" s="91"/>
      <c r="U120" s="181">
        <f t="shared" si="31"/>
        <v>0</v>
      </c>
    </row>
    <row r="121" spans="1:21" ht="21" customHeight="1">
      <c r="A121" s="179">
        <v>111100</v>
      </c>
      <c r="B121" s="180" t="s">
        <v>246</v>
      </c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431"/>
      <c r="N121" s="91"/>
      <c r="O121" s="91"/>
      <c r="P121" s="91"/>
      <c r="Q121" s="91"/>
      <c r="R121" s="91"/>
      <c r="S121" s="91"/>
      <c r="T121" s="91">
        <v>170325</v>
      </c>
      <c r="U121" s="181">
        <f t="shared" si="31"/>
        <v>170325</v>
      </c>
    </row>
    <row r="122" spans="1:21" ht="21" customHeight="1">
      <c r="A122" s="179">
        <v>111200</v>
      </c>
      <c r="B122" s="180" t="s">
        <v>528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431"/>
      <c r="N122" s="91"/>
      <c r="O122" s="91"/>
      <c r="P122" s="91"/>
      <c r="Q122" s="91"/>
      <c r="R122" s="91"/>
      <c r="S122" s="91"/>
      <c r="T122" s="91"/>
      <c r="U122" s="181">
        <f t="shared" si="31"/>
        <v>0</v>
      </c>
    </row>
    <row r="123" spans="1:21" ht="21" customHeight="1">
      <c r="A123" s="182">
        <v>120100</v>
      </c>
      <c r="B123" s="183" t="s">
        <v>245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432"/>
      <c r="N123" s="115"/>
      <c r="O123" s="115"/>
      <c r="P123" s="115"/>
      <c r="Q123" s="115"/>
      <c r="R123" s="115"/>
      <c r="S123" s="115"/>
      <c r="T123" s="115"/>
      <c r="U123" s="184">
        <f>SUM(C123:T123)</f>
        <v>0</v>
      </c>
    </row>
    <row r="124" spans="1:21" ht="21" customHeight="1">
      <c r="A124" s="756" t="s">
        <v>252</v>
      </c>
      <c r="B124" s="757"/>
      <c r="C124" s="181">
        <f>SUM(C116:C123)</f>
        <v>0</v>
      </c>
      <c r="D124" s="181">
        <f aca="true" t="shared" si="32" ref="D124:J124">SUM(D116:D123)</f>
        <v>0</v>
      </c>
      <c r="E124" s="181">
        <f t="shared" si="32"/>
        <v>0</v>
      </c>
      <c r="F124" s="181">
        <f t="shared" si="32"/>
        <v>0</v>
      </c>
      <c r="G124" s="181">
        <f t="shared" si="32"/>
        <v>0</v>
      </c>
      <c r="H124" s="181">
        <f t="shared" si="32"/>
        <v>0</v>
      </c>
      <c r="I124" s="181">
        <f t="shared" si="32"/>
        <v>0</v>
      </c>
      <c r="J124" s="181">
        <f t="shared" si="32"/>
        <v>0</v>
      </c>
      <c r="K124" s="181">
        <f>SUM(K116:K123)</f>
        <v>0</v>
      </c>
      <c r="L124" s="181">
        <f>SUM(L116:L123)</f>
        <v>0</v>
      </c>
      <c r="M124" s="433">
        <f>SUM(M116:M123)</f>
        <v>0</v>
      </c>
      <c r="N124" s="181">
        <f>SUM(N116:N123)</f>
        <v>0</v>
      </c>
      <c r="O124" s="181">
        <f>SUM(O116:O123)</f>
        <v>0</v>
      </c>
      <c r="P124" s="181"/>
      <c r="Q124" s="181">
        <f>SUM(Q116:Q123)</f>
        <v>0</v>
      </c>
      <c r="R124" s="181">
        <f>SUM(R116:R123)</f>
        <v>0</v>
      </c>
      <c r="S124" s="181">
        <f>SUM(S116:S123)</f>
        <v>0</v>
      </c>
      <c r="T124" s="181">
        <f>SUM(T116:T123)</f>
        <v>193497</v>
      </c>
      <c r="U124" s="181">
        <f>SUM(C124:T124)</f>
        <v>193497</v>
      </c>
    </row>
    <row r="125" spans="1:21" ht="21" customHeight="1">
      <c r="A125" s="758" t="s">
        <v>253</v>
      </c>
      <c r="B125" s="759"/>
      <c r="C125" s="185">
        <f>+C124+C15</f>
        <v>0</v>
      </c>
      <c r="D125" s="185">
        <f aca="true" t="shared" si="33" ref="D125:U125">+D124+D15</f>
        <v>0</v>
      </c>
      <c r="E125" s="185">
        <f t="shared" si="33"/>
        <v>0</v>
      </c>
      <c r="F125" s="185">
        <f t="shared" si="33"/>
        <v>0</v>
      </c>
      <c r="G125" s="185">
        <f t="shared" si="33"/>
        <v>0</v>
      </c>
      <c r="H125" s="185">
        <f t="shared" si="33"/>
        <v>0</v>
      </c>
      <c r="I125" s="185">
        <f t="shared" si="33"/>
        <v>0</v>
      </c>
      <c r="J125" s="185">
        <f t="shared" si="33"/>
        <v>0</v>
      </c>
      <c r="K125" s="185">
        <f t="shared" si="33"/>
        <v>0</v>
      </c>
      <c r="L125" s="185">
        <f t="shared" si="33"/>
        <v>0</v>
      </c>
      <c r="M125" s="185">
        <f t="shared" si="33"/>
        <v>0</v>
      </c>
      <c r="N125" s="185">
        <f t="shared" si="33"/>
        <v>0</v>
      </c>
      <c r="O125" s="185">
        <f t="shared" si="33"/>
        <v>0</v>
      </c>
      <c r="P125" s="185">
        <f t="shared" si="33"/>
        <v>0</v>
      </c>
      <c r="Q125" s="185">
        <f t="shared" si="33"/>
        <v>0</v>
      </c>
      <c r="R125" s="185">
        <f t="shared" si="33"/>
        <v>0</v>
      </c>
      <c r="S125" s="185">
        <f t="shared" si="33"/>
        <v>0</v>
      </c>
      <c r="T125" s="185">
        <f t="shared" si="33"/>
        <v>200997</v>
      </c>
      <c r="U125" s="185">
        <f t="shared" si="33"/>
        <v>200997</v>
      </c>
    </row>
    <row r="126" spans="1:21" ht="21" customHeight="1">
      <c r="A126" s="771" t="s">
        <v>291</v>
      </c>
      <c r="B126" s="772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434"/>
      <c r="N126" s="186"/>
      <c r="O126" s="186"/>
      <c r="P126" s="186"/>
      <c r="Q126" s="186"/>
      <c r="R126" s="186"/>
      <c r="S126" s="186"/>
      <c r="T126" s="186"/>
      <c r="U126" s="187">
        <f aca="true" t="shared" si="34" ref="U126:U131">SUM(C126:T126)</f>
        <v>0</v>
      </c>
    </row>
    <row r="127" spans="1:21" ht="21" customHeight="1">
      <c r="A127" s="179">
        <v>210100</v>
      </c>
      <c r="B127" s="83" t="s">
        <v>247</v>
      </c>
      <c r="C127" s="91">
        <v>57960</v>
      </c>
      <c r="D127" s="91"/>
      <c r="E127" s="91"/>
      <c r="F127" s="91"/>
      <c r="G127" s="91"/>
      <c r="H127" s="91"/>
      <c r="I127" s="91"/>
      <c r="J127" s="91"/>
      <c r="K127" s="91"/>
      <c r="L127" s="91"/>
      <c r="M127" s="431"/>
      <c r="N127" s="91"/>
      <c r="O127" s="91"/>
      <c r="P127" s="91"/>
      <c r="Q127" s="91"/>
      <c r="R127" s="91"/>
      <c r="S127" s="91"/>
      <c r="T127" s="91"/>
      <c r="U127" s="181">
        <f t="shared" si="34"/>
        <v>57960</v>
      </c>
    </row>
    <row r="128" spans="1:21" ht="21" customHeight="1">
      <c r="A128" s="179">
        <v>210200</v>
      </c>
      <c r="B128" s="83" t="s">
        <v>251</v>
      </c>
      <c r="C128" s="91">
        <v>10000</v>
      </c>
      <c r="D128" s="91"/>
      <c r="E128" s="91"/>
      <c r="F128" s="91"/>
      <c r="G128" s="91"/>
      <c r="H128" s="91"/>
      <c r="I128" s="91"/>
      <c r="J128" s="91"/>
      <c r="K128" s="91"/>
      <c r="L128" s="91"/>
      <c r="M128" s="431"/>
      <c r="N128" s="91"/>
      <c r="O128" s="91"/>
      <c r="P128" s="91"/>
      <c r="Q128" s="91"/>
      <c r="R128" s="91"/>
      <c r="S128" s="91"/>
      <c r="T128" s="91"/>
      <c r="U128" s="181">
        <f t="shared" si="34"/>
        <v>10000</v>
      </c>
    </row>
    <row r="129" spans="1:21" ht="21" customHeight="1">
      <c r="A129" s="179">
        <v>210300</v>
      </c>
      <c r="B129" s="83" t="s">
        <v>248</v>
      </c>
      <c r="C129" s="91">
        <v>10000</v>
      </c>
      <c r="D129" s="91"/>
      <c r="E129" s="91"/>
      <c r="F129" s="91"/>
      <c r="G129" s="91"/>
      <c r="H129" s="91"/>
      <c r="I129" s="91"/>
      <c r="J129" s="91"/>
      <c r="K129" s="91"/>
      <c r="L129" s="91"/>
      <c r="M129" s="431"/>
      <c r="N129" s="91"/>
      <c r="O129" s="91"/>
      <c r="P129" s="91"/>
      <c r="Q129" s="91"/>
      <c r="R129" s="91"/>
      <c r="S129" s="91"/>
      <c r="T129" s="91"/>
      <c r="U129" s="181">
        <f t="shared" si="34"/>
        <v>10000</v>
      </c>
    </row>
    <row r="130" spans="1:21" ht="21" customHeight="1">
      <c r="A130" s="179">
        <v>210400</v>
      </c>
      <c r="B130" s="83" t="s">
        <v>249</v>
      </c>
      <c r="C130" s="91">
        <v>16560</v>
      </c>
      <c r="D130" s="91"/>
      <c r="E130" s="91"/>
      <c r="F130" s="91"/>
      <c r="G130" s="91"/>
      <c r="H130" s="91"/>
      <c r="I130" s="91"/>
      <c r="J130" s="91"/>
      <c r="K130" s="91"/>
      <c r="L130" s="91"/>
      <c r="M130" s="431"/>
      <c r="N130" s="91"/>
      <c r="O130" s="91"/>
      <c r="P130" s="91"/>
      <c r="Q130" s="91"/>
      <c r="R130" s="91"/>
      <c r="S130" s="91"/>
      <c r="T130" s="91"/>
      <c r="U130" s="181">
        <f t="shared" si="34"/>
        <v>16560</v>
      </c>
    </row>
    <row r="131" spans="1:21" ht="21" customHeight="1">
      <c r="A131" s="182">
        <v>210600</v>
      </c>
      <c r="B131" s="84" t="s">
        <v>250</v>
      </c>
      <c r="C131" s="91">
        <v>114540</v>
      </c>
      <c r="D131" s="115"/>
      <c r="E131" s="115"/>
      <c r="F131" s="115"/>
      <c r="G131" s="115"/>
      <c r="H131" s="115"/>
      <c r="I131" s="115"/>
      <c r="J131" s="115"/>
      <c r="K131" s="115"/>
      <c r="L131" s="115"/>
      <c r="M131" s="432"/>
      <c r="N131" s="115"/>
      <c r="O131" s="115"/>
      <c r="P131" s="115"/>
      <c r="Q131" s="115"/>
      <c r="R131" s="115"/>
      <c r="S131" s="115"/>
      <c r="T131" s="115"/>
      <c r="U131" s="184">
        <f t="shared" si="34"/>
        <v>114540</v>
      </c>
    </row>
    <row r="132" spans="1:21" ht="21" customHeight="1">
      <c r="A132" s="756" t="s">
        <v>252</v>
      </c>
      <c r="B132" s="757"/>
      <c r="C132" s="181">
        <f>SUM(C127:C131)</f>
        <v>209060</v>
      </c>
      <c r="D132" s="181">
        <f>SUM(D126:D131)</f>
        <v>0</v>
      </c>
      <c r="E132" s="181">
        <f aca="true" t="shared" si="35" ref="E132:J132">SUM(E126:E131)</f>
        <v>0</v>
      </c>
      <c r="F132" s="181">
        <f t="shared" si="35"/>
        <v>0</v>
      </c>
      <c r="G132" s="181">
        <f t="shared" si="35"/>
        <v>0</v>
      </c>
      <c r="H132" s="181">
        <f t="shared" si="35"/>
        <v>0</v>
      </c>
      <c r="I132" s="181">
        <f t="shared" si="35"/>
        <v>0</v>
      </c>
      <c r="J132" s="181">
        <f t="shared" si="35"/>
        <v>0</v>
      </c>
      <c r="K132" s="181">
        <f>SUM(K126:K131)</f>
        <v>0</v>
      </c>
      <c r="L132" s="181">
        <f>SUM(L126:L131)</f>
        <v>0</v>
      </c>
      <c r="M132" s="433">
        <f>SUM(M126:M131)</f>
        <v>0</v>
      </c>
      <c r="N132" s="181">
        <f>SUM(N126:N131)</f>
        <v>0</v>
      </c>
      <c r="O132" s="181">
        <f>SUM(O126:O131)</f>
        <v>0</v>
      </c>
      <c r="P132" s="181"/>
      <c r="Q132" s="181">
        <f>SUM(Q126:Q131)</f>
        <v>0</v>
      </c>
      <c r="R132" s="181">
        <f>SUM(R126:R131)</f>
        <v>0</v>
      </c>
      <c r="S132" s="181">
        <f>SUM(S126:S131)</f>
        <v>0</v>
      </c>
      <c r="T132" s="181">
        <f>SUM(T126:T131)</f>
        <v>0</v>
      </c>
      <c r="U132" s="181">
        <f>SUM(C132:T132)</f>
        <v>209060</v>
      </c>
    </row>
    <row r="133" spans="1:21" ht="21" customHeight="1">
      <c r="A133" s="758" t="s">
        <v>253</v>
      </c>
      <c r="B133" s="759"/>
      <c r="C133" s="181">
        <f>+C132+C23</f>
        <v>418120</v>
      </c>
      <c r="D133" s="181">
        <f aca="true" t="shared" si="36" ref="D133:U133">+D132+D23</f>
        <v>0</v>
      </c>
      <c r="E133" s="181">
        <f t="shared" si="36"/>
        <v>0</v>
      </c>
      <c r="F133" s="181">
        <f t="shared" si="36"/>
        <v>0</v>
      </c>
      <c r="G133" s="181">
        <f t="shared" si="36"/>
        <v>0</v>
      </c>
      <c r="H133" s="181">
        <f t="shared" si="36"/>
        <v>0</v>
      </c>
      <c r="I133" s="181">
        <f t="shared" si="36"/>
        <v>0</v>
      </c>
      <c r="J133" s="181">
        <f t="shared" si="36"/>
        <v>0</v>
      </c>
      <c r="K133" s="181">
        <f t="shared" si="36"/>
        <v>0</v>
      </c>
      <c r="L133" s="181">
        <f t="shared" si="36"/>
        <v>0</v>
      </c>
      <c r="M133" s="181">
        <f t="shared" si="36"/>
        <v>0</v>
      </c>
      <c r="N133" s="181">
        <f t="shared" si="36"/>
        <v>0</v>
      </c>
      <c r="O133" s="181">
        <f t="shared" si="36"/>
        <v>0</v>
      </c>
      <c r="P133" s="181">
        <f t="shared" si="36"/>
        <v>0</v>
      </c>
      <c r="Q133" s="181">
        <f t="shared" si="36"/>
        <v>0</v>
      </c>
      <c r="R133" s="181">
        <f t="shared" si="36"/>
        <v>0</v>
      </c>
      <c r="S133" s="181">
        <f t="shared" si="36"/>
        <v>0</v>
      </c>
      <c r="T133" s="181">
        <f t="shared" si="36"/>
        <v>0</v>
      </c>
      <c r="U133" s="181">
        <f t="shared" si="36"/>
        <v>418120</v>
      </c>
    </row>
    <row r="134" spans="1:21" ht="21" customHeight="1">
      <c r="A134" s="771" t="s">
        <v>292</v>
      </c>
      <c r="B134" s="772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434"/>
      <c r="N134" s="186"/>
      <c r="O134" s="186"/>
      <c r="P134" s="186"/>
      <c r="Q134" s="186"/>
      <c r="R134" s="186"/>
      <c r="S134" s="186"/>
      <c r="T134" s="186"/>
      <c r="U134" s="187">
        <f aca="true" t="shared" si="37" ref="U134:U139">SUM(C134:T134)</f>
        <v>0</v>
      </c>
    </row>
    <row r="135" spans="1:21" ht="21" customHeight="1">
      <c r="A135" s="179">
        <v>220100</v>
      </c>
      <c r="B135" s="83" t="s">
        <v>254</v>
      </c>
      <c r="C135" s="91">
        <v>159254.67</v>
      </c>
      <c r="D135" s="91">
        <v>41020</v>
      </c>
      <c r="E135" s="91"/>
      <c r="F135" s="91"/>
      <c r="G135" s="91"/>
      <c r="H135" s="91"/>
      <c r="I135" s="91"/>
      <c r="J135" s="91">
        <f>30920+310</f>
        <v>31230</v>
      </c>
      <c r="K135" s="91"/>
      <c r="L135" s="91"/>
      <c r="M135" s="431"/>
      <c r="N135" s="91"/>
      <c r="O135" s="91"/>
      <c r="P135" s="91"/>
      <c r="Q135" s="91"/>
      <c r="R135" s="91"/>
      <c r="S135" s="91"/>
      <c r="T135" s="91"/>
      <c r="U135" s="181">
        <f t="shared" si="37"/>
        <v>231504.67</v>
      </c>
    </row>
    <row r="136" spans="1:21" ht="21" customHeight="1">
      <c r="A136" s="179">
        <v>220200</v>
      </c>
      <c r="B136" s="83" t="s">
        <v>255</v>
      </c>
      <c r="C136" s="91">
        <v>8305.33</v>
      </c>
      <c r="D136" s="91">
        <v>9930</v>
      </c>
      <c r="E136" s="91"/>
      <c r="F136" s="91"/>
      <c r="G136" s="91"/>
      <c r="H136" s="91"/>
      <c r="I136" s="91"/>
      <c r="J136" s="91">
        <f>3985-310</f>
        <v>3675</v>
      </c>
      <c r="K136" s="91"/>
      <c r="L136" s="91"/>
      <c r="M136" s="431"/>
      <c r="N136" s="91"/>
      <c r="O136" s="91"/>
      <c r="P136" s="91"/>
      <c r="Q136" s="91"/>
      <c r="R136" s="91"/>
      <c r="S136" s="91"/>
      <c r="T136" s="91"/>
      <c r="U136" s="181">
        <f t="shared" si="37"/>
        <v>21910.33</v>
      </c>
    </row>
    <row r="137" spans="1:21" ht="21" customHeight="1">
      <c r="A137" s="179">
        <v>220300</v>
      </c>
      <c r="B137" s="83" t="s">
        <v>256</v>
      </c>
      <c r="C137" s="91">
        <v>10500</v>
      </c>
      <c r="D137" s="91"/>
      <c r="E137" s="91"/>
      <c r="F137" s="91"/>
      <c r="G137" s="91"/>
      <c r="H137" s="91"/>
      <c r="I137" s="91"/>
      <c r="J137" s="91"/>
      <c r="K137" s="91"/>
      <c r="L137" s="91"/>
      <c r="M137" s="431"/>
      <c r="N137" s="91"/>
      <c r="O137" s="91"/>
      <c r="P137" s="91"/>
      <c r="Q137" s="91"/>
      <c r="R137" s="91"/>
      <c r="S137" s="91"/>
      <c r="T137" s="91"/>
      <c r="U137" s="181">
        <f t="shared" si="37"/>
        <v>10500</v>
      </c>
    </row>
    <row r="138" spans="1:21" ht="21" customHeight="1">
      <c r="A138" s="179">
        <v>220400</v>
      </c>
      <c r="B138" s="83" t="s">
        <v>3</v>
      </c>
      <c r="C138" s="91"/>
      <c r="D138" s="91">
        <v>23730</v>
      </c>
      <c r="E138" s="91"/>
      <c r="F138" s="91"/>
      <c r="G138" s="91"/>
      <c r="H138" s="91"/>
      <c r="I138" s="91"/>
      <c r="J138" s="91"/>
      <c r="K138" s="91"/>
      <c r="L138" s="91"/>
      <c r="M138" s="431"/>
      <c r="N138" s="91"/>
      <c r="O138" s="91"/>
      <c r="P138" s="91"/>
      <c r="Q138" s="91"/>
      <c r="R138" s="91"/>
      <c r="S138" s="91"/>
      <c r="T138" s="91"/>
      <c r="U138" s="181">
        <f t="shared" si="37"/>
        <v>23730</v>
      </c>
    </row>
    <row r="139" spans="1:21" ht="21" customHeight="1">
      <c r="A139" s="179">
        <v>220500</v>
      </c>
      <c r="B139" s="83" t="s">
        <v>257</v>
      </c>
      <c r="C139" s="91">
        <v>0</v>
      </c>
      <c r="D139" s="91">
        <v>3555</v>
      </c>
      <c r="E139" s="91"/>
      <c r="F139" s="91"/>
      <c r="G139" s="91"/>
      <c r="H139" s="91"/>
      <c r="I139" s="91"/>
      <c r="J139" s="91"/>
      <c r="K139" s="91"/>
      <c r="L139" s="91"/>
      <c r="M139" s="431"/>
      <c r="N139" s="91"/>
      <c r="O139" s="91"/>
      <c r="P139" s="91"/>
      <c r="Q139" s="91"/>
      <c r="R139" s="91"/>
      <c r="S139" s="91"/>
      <c r="T139" s="91"/>
      <c r="U139" s="181">
        <f t="shared" si="37"/>
        <v>3555</v>
      </c>
    </row>
    <row r="140" spans="1:21" ht="21" customHeight="1">
      <c r="A140" s="769" t="s">
        <v>216</v>
      </c>
      <c r="B140" s="769"/>
      <c r="C140" s="768" t="s">
        <v>218</v>
      </c>
      <c r="D140" s="768"/>
      <c r="E140" s="446" t="s">
        <v>221</v>
      </c>
      <c r="F140" s="768" t="s">
        <v>223</v>
      </c>
      <c r="G140" s="769"/>
      <c r="H140" s="446" t="s">
        <v>237</v>
      </c>
      <c r="I140" s="446" t="s">
        <v>238</v>
      </c>
      <c r="J140" s="765" t="s">
        <v>239</v>
      </c>
      <c r="K140" s="766"/>
      <c r="L140" s="767"/>
      <c r="M140" s="445" t="s">
        <v>240</v>
      </c>
      <c r="N140" s="765" t="s">
        <v>241</v>
      </c>
      <c r="O140" s="766"/>
      <c r="P140" s="767"/>
      <c r="Q140" s="768" t="s">
        <v>242</v>
      </c>
      <c r="R140" s="769"/>
      <c r="S140" s="446" t="s">
        <v>306</v>
      </c>
      <c r="T140" s="446" t="s">
        <v>243</v>
      </c>
      <c r="U140" s="770" t="s">
        <v>17</v>
      </c>
    </row>
    <row r="141" spans="1:21" ht="21" customHeight="1">
      <c r="A141" s="769" t="s">
        <v>217</v>
      </c>
      <c r="B141" s="769"/>
      <c r="C141" s="446" t="s">
        <v>219</v>
      </c>
      <c r="D141" s="446" t="s">
        <v>220</v>
      </c>
      <c r="E141" s="446" t="s">
        <v>312</v>
      </c>
      <c r="F141" s="446" t="s">
        <v>224</v>
      </c>
      <c r="G141" s="446" t="s">
        <v>225</v>
      </c>
      <c r="H141" s="446" t="s">
        <v>227</v>
      </c>
      <c r="I141" s="446" t="s">
        <v>228</v>
      </c>
      <c r="J141" s="446" t="s">
        <v>229</v>
      </c>
      <c r="K141" s="446" t="s">
        <v>230</v>
      </c>
      <c r="L141" s="446" t="s">
        <v>431</v>
      </c>
      <c r="M141" s="445" t="s">
        <v>231</v>
      </c>
      <c r="N141" s="446" t="s">
        <v>232</v>
      </c>
      <c r="O141" s="446" t="s">
        <v>233</v>
      </c>
      <c r="P141" s="446" t="s">
        <v>314</v>
      </c>
      <c r="Q141" s="446" t="s">
        <v>234</v>
      </c>
      <c r="R141" s="446" t="s">
        <v>235</v>
      </c>
      <c r="S141" s="446" t="s">
        <v>307</v>
      </c>
      <c r="T141" s="446" t="s">
        <v>236</v>
      </c>
      <c r="U141" s="770"/>
    </row>
    <row r="142" spans="1:21" ht="21" customHeight="1">
      <c r="A142" s="179">
        <v>220600</v>
      </c>
      <c r="B142" s="83" t="s">
        <v>258</v>
      </c>
      <c r="C142" s="91">
        <v>85540</v>
      </c>
      <c r="D142" s="91">
        <v>9140</v>
      </c>
      <c r="E142" s="91"/>
      <c r="F142" s="91"/>
      <c r="G142" s="91"/>
      <c r="H142" s="91"/>
      <c r="I142" s="91"/>
      <c r="J142" s="91">
        <v>11870</v>
      </c>
      <c r="K142" s="91"/>
      <c r="L142" s="91"/>
      <c r="M142" s="431"/>
      <c r="N142" s="91"/>
      <c r="O142" s="91"/>
      <c r="P142" s="91"/>
      <c r="Q142" s="91"/>
      <c r="R142" s="91"/>
      <c r="S142" s="91"/>
      <c r="T142" s="91"/>
      <c r="U142" s="181">
        <f>SUM(C142:T142)</f>
        <v>106550</v>
      </c>
    </row>
    <row r="143" spans="1:21" ht="21" customHeight="1">
      <c r="A143" s="182">
        <v>220700</v>
      </c>
      <c r="B143" s="84" t="s">
        <v>259</v>
      </c>
      <c r="C143" s="91">
        <v>49460</v>
      </c>
      <c r="D143" s="115">
        <v>5860</v>
      </c>
      <c r="E143" s="115"/>
      <c r="F143" s="115">
        <v>900</v>
      </c>
      <c r="G143" s="115"/>
      <c r="H143" s="115"/>
      <c r="I143" s="115"/>
      <c r="J143" s="91">
        <v>6130</v>
      </c>
      <c r="K143" s="115"/>
      <c r="L143" s="115"/>
      <c r="M143" s="432"/>
      <c r="N143" s="115"/>
      <c r="O143" s="115"/>
      <c r="P143" s="115"/>
      <c r="Q143" s="115"/>
      <c r="R143" s="115"/>
      <c r="S143" s="115"/>
      <c r="T143" s="115"/>
      <c r="U143" s="184">
        <f>SUM(C143:T143)</f>
        <v>62350</v>
      </c>
    </row>
    <row r="144" spans="1:21" ht="21" customHeight="1">
      <c r="A144" s="756" t="s">
        <v>252</v>
      </c>
      <c r="B144" s="757"/>
      <c r="C144" s="181">
        <f>SUM(C134:C143)</f>
        <v>313060</v>
      </c>
      <c r="D144" s="181">
        <f>SUM(D134:D143)</f>
        <v>93235</v>
      </c>
      <c r="E144" s="181">
        <f>SUM(E134:E143)</f>
        <v>0</v>
      </c>
      <c r="F144" s="181">
        <f>SUM(F134:F143)</f>
        <v>900</v>
      </c>
      <c r="G144" s="181">
        <f>SUM(G134:G143)</f>
        <v>0</v>
      </c>
      <c r="H144" s="181">
        <f>SUM(H134:H143)</f>
        <v>0</v>
      </c>
      <c r="I144" s="181">
        <f>SUM(I134:I143)</f>
        <v>0</v>
      </c>
      <c r="J144" s="181">
        <f>SUM(J134:J143)</f>
        <v>52905</v>
      </c>
      <c r="K144" s="181">
        <f>SUM(K134:K143)</f>
        <v>0</v>
      </c>
      <c r="L144" s="181">
        <f>SUM(L134:L143)</f>
        <v>0</v>
      </c>
      <c r="M144" s="433">
        <f>SUM(M134:M143)</f>
        <v>0</v>
      </c>
      <c r="N144" s="181">
        <f>SUM(N134:N143)</f>
        <v>0</v>
      </c>
      <c r="O144" s="181">
        <f>SUM(O134:O143)</f>
        <v>0</v>
      </c>
      <c r="P144" s="181"/>
      <c r="Q144" s="181">
        <f>SUM(Q134:Q143)</f>
        <v>0</v>
      </c>
      <c r="R144" s="181">
        <f>SUM(R134:R143)</f>
        <v>0</v>
      </c>
      <c r="S144" s="181">
        <f>SUM(S134:S143)</f>
        <v>0</v>
      </c>
      <c r="T144" s="181">
        <f>SUM(T134:T143)</f>
        <v>0</v>
      </c>
      <c r="U144" s="181">
        <f>SUM(C144:T144)</f>
        <v>460100</v>
      </c>
    </row>
    <row r="145" spans="1:21" ht="21" customHeight="1">
      <c r="A145" s="758" t="s">
        <v>253</v>
      </c>
      <c r="B145" s="759"/>
      <c r="C145" s="185">
        <f>+C144+C35</f>
        <v>615312.58</v>
      </c>
      <c r="D145" s="185">
        <f aca="true" t="shared" si="38" ref="D145:U145">+D144+D35</f>
        <v>186470</v>
      </c>
      <c r="E145" s="185">
        <f t="shared" si="38"/>
        <v>0</v>
      </c>
      <c r="F145" s="185">
        <f t="shared" si="38"/>
        <v>1800</v>
      </c>
      <c r="G145" s="185">
        <f t="shared" si="38"/>
        <v>0</v>
      </c>
      <c r="H145" s="185">
        <f t="shared" si="38"/>
        <v>0</v>
      </c>
      <c r="I145" s="185">
        <f t="shared" si="38"/>
        <v>0</v>
      </c>
      <c r="J145" s="185">
        <f t="shared" si="38"/>
        <v>114810</v>
      </c>
      <c r="K145" s="185">
        <f t="shared" si="38"/>
        <v>0</v>
      </c>
      <c r="L145" s="185">
        <f t="shared" si="38"/>
        <v>0</v>
      </c>
      <c r="M145" s="185">
        <f t="shared" si="38"/>
        <v>0</v>
      </c>
      <c r="N145" s="185">
        <f t="shared" si="38"/>
        <v>0</v>
      </c>
      <c r="O145" s="185">
        <f t="shared" si="38"/>
        <v>0</v>
      </c>
      <c r="P145" s="185">
        <f t="shared" si="38"/>
        <v>0</v>
      </c>
      <c r="Q145" s="185">
        <f t="shared" si="38"/>
        <v>0</v>
      </c>
      <c r="R145" s="185">
        <f t="shared" si="38"/>
        <v>0</v>
      </c>
      <c r="S145" s="185">
        <f t="shared" si="38"/>
        <v>0</v>
      </c>
      <c r="T145" s="185">
        <f t="shared" si="38"/>
        <v>0</v>
      </c>
      <c r="U145" s="185">
        <f t="shared" si="38"/>
        <v>918392.58</v>
      </c>
    </row>
    <row r="146" spans="1:21" ht="21" customHeight="1">
      <c r="A146" s="771" t="s">
        <v>293</v>
      </c>
      <c r="B146" s="772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434"/>
      <c r="N146" s="186"/>
      <c r="O146" s="186"/>
      <c r="P146" s="186"/>
      <c r="Q146" s="186"/>
      <c r="R146" s="186"/>
      <c r="S146" s="186"/>
      <c r="T146" s="186"/>
      <c r="U146" s="187">
        <f aca="true" t="shared" si="39" ref="U146:U152">SUM(C146:T146)</f>
        <v>0</v>
      </c>
    </row>
    <row r="147" spans="1:21" ht="21" customHeight="1">
      <c r="A147" s="179">
        <v>310100</v>
      </c>
      <c r="B147" s="83" t="s">
        <v>260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431"/>
      <c r="N147" s="91"/>
      <c r="O147" s="91"/>
      <c r="P147" s="91"/>
      <c r="Q147" s="91"/>
      <c r="R147" s="91"/>
      <c r="S147" s="91"/>
      <c r="T147" s="91"/>
      <c r="U147" s="181">
        <f t="shared" si="39"/>
        <v>0</v>
      </c>
    </row>
    <row r="148" spans="1:21" ht="21" customHeight="1">
      <c r="A148" s="179">
        <v>310200</v>
      </c>
      <c r="B148" s="83" t="s">
        <v>261</v>
      </c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431"/>
      <c r="N148" s="91"/>
      <c r="O148" s="91"/>
      <c r="P148" s="91"/>
      <c r="Q148" s="91"/>
      <c r="R148" s="91"/>
      <c r="S148" s="91"/>
      <c r="T148" s="91"/>
      <c r="U148" s="181">
        <f t="shared" si="39"/>
        <v>0</v>
      </c>
    </row>
    <row r="149" spans="1:21" ht="21" customHeight="1">
      <c r="A149" s="179">
        <v>310300</v>
      </c>
      <c r="B149" s="83" t="s">
        <v>262</v>
      </c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431"/>
      <c r="N149" s="91"/>
      <c r="O149" s="91"/>
      <c r="P149" s="91"/>
      <c r="Q149" s="91"/>
      <c r="R149" s="91"/>
      <c r="S149" s="91"/>
      <c r="T149" s="91"/>
      <c r="U149" s="181">
        <f t="shared" si="39"/>
        <v>0</v>
      </c>
    </row>
    <row r="150" spans="1:21" ht="21" customHeight="1">
      <c r="A150" s="179">
        <v>310400</v>
      </c>
      <c r="B150" s="83" t="s">
        <v>263</v>
      </c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431"/>
      <c r="N150" s="91"/>
      <c r="O150" s="91"/>
      <c r="P150" s="91"/>
      <c r="Q150" s="91"/>
      <c r="R150" s="91"/>
      <c r="S150" s="91"/>
      <c r="T150" s="91"/>
      <c r="U150" s="181">
        <f t="shared" si="39"/>
        <v>0</v>
      </c>
    </row>
    <row r="151" spans="1:21" ht="21" customHeight="1">
      <c r="A151" s="179">
        <v>310500</v>
      </c>
      <c r="B151" s="83" t="s">
        <v>264</v>
      </c>
      <c r="C151" s="91">
        <v>3874</v>
      </c>
      <c r="D151" s="91"/>
      <c r="E151" s="91"/>
      <c r="F151" s="91"/>
      <c r="G151" s="91"/>
      <c r="H151" s="91"/>
      <c r="I151" s="91"/>
      <c r="J151" s="91"/>
      <c r="K151" s="91"/>
      <c r="L151" s="91"/>
      <c r="M151" s="431"/>
      <c r="N151" s="91"/>
      <c r="O151" s="91"/>
      <c r="P151" s="91"/>
      <c r="Q151" s="91"/>
      <c r="R151" s="91"/>
      <c r="S151" s="91"/>
      <c r="T151" s="91"/>
      <c r="U151" s="181">
        <f t="shared" si="39"/>
        <v>3874</v>
      </c>
    </row>
    <row r="152" spans="1:21" ht="21" customHeight="1">
      <c r="A152" s="182">
        <v>310600</v>
      </c>
      <c r="B152" s="84" t="s">
        <v>265</v>
      </c>
      <c r="C152" s="91">
        <v>1920</v>
      </c>
      <c r="D152" s="91"/>
      <c r="E152" s="115"/>
      <c r="F152" s="115"/>
      <c r="G152" s="115"/>
      <c r="H152" s="115"/>
      <c r="I152" s="115"/>
      <c r="J152" s="115"/>
      <c r="K152" s="115"/>
      <c r="L152" s="115"/>
      <c r="M152" s="432"/>
      <c r="N152" s="115"/>
      <c r="O152" s="115"/>
      <c r="P152" s="115"/>
      <c r="Q152" s="115"/>
      <c r="R152" s="115"/>
      <c r="S152" s="115"/>
      <c r="T152" s="115"/>
      <c r="U152" s="184">
        <f t="shared" si="39"/>
        <v>1920</v>
      </c>
    </row>
    <row r="153" spans="1:22" ht="21" customHeight="1">
      <c r="A153" s="756" t="s">
        <v>252</v>
      </c>
      <c r="B153" s="757"/>
      <c r="C153" s="181">
        <f>SUM(C147:C152)</f>
        <v>5794</v>
      </c>
      <c r="D153" s="181">
        <f aca="true" t="shared" si="40" ref="D153:T153">SUM(D147:D152)</f>
        <v>0</v>
      </c>
      <c r="E153" s="181">
        <f t="shared" si="40"/>
        <v>0</v>
      </c>
      <c r="F153" s="181">
        <f t="shared" si="40"/>
        <v>0</v>
      </c>
      <c r="G153" s="181">
        <f t="shared" si="40"/>
        <v>0</v>
      </c>
      <c r="H153" s="181">
        <f t="shared" si="40"/>
        <v>0</v>
      </c>
      <c r="I153" s="181">
        <f t="shared" si="40"/>
        <v>0</v>
      </c>
      <c r="J153" s="181">
        <f t="shared" si="40"/>
        <v>0</v>
      </c>
      <c r="K153" s="181">
        <f t="shared" si="40"/>
        <v>0</v>
      </c>
      <c r="L153" s="181">
        <f t="shared" si="40"/>
        <v>0</v>
      </c>
      <c r="M153" s="181">
        <f t="shared" si="40"/>
        <v>0</v>
      </c>
      <c r="N153" s="181">
        <f t="shared" si="40"/>
        <v>0</v>
      </c>
      <c r="O153" s="181">
        <f t="shared" si="40"/>
        <v>0</v>
      </c>
      <c r="P153" s="181">
        <f t="shared" si="40"/>
        <v>0</v>
      </c>
      <c r="Q153" s="181">
        <f t="shared" si="40"/>
        <v>0</v>
      </c>
      <c r="R153" s="181">
        <f t="shared" si="40"/>
        <v>0</v>
      </c>
      <c r="S153" s="181">
        <f t="shared" si="40"/>
        <v>0</v>
      </c>
      <c r="T153" s="181">
        <f t="shared" si="40"/>
        <v>0</v>
      </c>
      <c r="U153" s="181">
        <f>SUM(C153:T153)</f>
        <v>5794</v>
      </c>
      <c r="V153" s="177">
        <v>2156.4</v>
      </c>
    </row>
    <row r="154" spans="1:21" ht="21" customHeight="1">
      <c r="A154" s="758" t="s">
        <v>253</v>
      </c>
      <c r="B154" s="759"/>
      <c r="C154" s="185">
        <f>+C153+C44</f>
        <v>24452</v>
      </c>
      <c r="D154" s="185">
        <f aca="true" t="shared" si="41" ref="D154:U154">+D153+D44</f>
        <v>22725</v>
      </c>
      <c r="E154" s="185">
        <f t="shared" si="41"/>
        <v>0</v>
      </c>
      <c r="F154" s="185">
        <f t="shared" si="41"/>
        <v>0</v>
      </c>
      <c r="G154" s="185">
        <f t="shared" si="41"/>
        <v>0</v>
      </c>
      <c r="H154" s="185">
        <f t="shared" si="41"/>
        <v>0</v>
      </c>
      <c r="I154" s="185">
        <f t="shared" si="41"/>
        <v>0</v>
      </c>
      <c r="J154" s="185">
        <f t="shared" si="41"/>
        <v>1600</v>
      </c>
      <c r="K154" s="185">
        <f t="shared" si="41"/>
        <v>0</v>
      </c>
      <c r="L154" s="185">
        <f t="shared" si="41"/>
        <v>0</v>
      </c>
      <c r="M154" s="185">
        <f t="shared" si="41"/>
        <v>0</v>
      </c>
      <c r="N154" s="185">
        <f t="shared" si="41"/>
        <v>0</v>
      </c>
      <c r="O154" s="185">
        <f t="shared" si="41"/>
        <v>0</v>
      </c>
      <c r="P154" s="185">
        <f t="shared" si="41"/>
        <v>0</v>
      </c>
      <c r="Q154" s="185">
        <f t="shared" si="41"/>
        <v>0</v>
      </c>
      <c r="R154" s="185">
        <f t="shared" si="41"/>
        <v>0</v>
      </c>
      <c r="S154" s="185">
        <f t="shared" si="41"/>
        <v>0</v>
      </c>
      <c r="T154" s="185">
        <f t="shared" si="41"/>
        <v>0</v>
      </c>
      <c r="U154" s="185">
        <f t="shared" si="41"/>
        <v>48777</v>
      </c>
    </row>
    <row r="155" spans="1:21" ht="21" customHeight="1">
      <c r="A155" s="771" t="s">
        <v>294</v>
      </c>
      <c r="B155" s="772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434"/>
      <c r="N155" s="186"/>
      <c r="O155" s="186"/>
      <c r="P155" s="186"/>
      <c r="Q155" s="186"/>
      <c r="R155" s="186"/>
      <c r="S155" s="186"/>
      <c r="T155" s="186"/>
      <c r="U155" s="187">
        <f>SUM(C155:T155)</f>
        <v>0</v>
      </c>
    </row>
    <row r="156" spans="1:21" ht="21" customHeight="1">
      <c r="A156" s="179">
        <v>320100</v>
      </c>
      <c r="B156" s="83" t="s">
        <v>266</v>
      </c>
      <c r="C156" s="91">
        <f>5500+4400+7500+3900+1230+3500+7000</f>
        <v>33030</v>
      </c>
      <c r="D156" s="91"/>
      <c r="E156" s="91"/>
      <c r="F156" s="91"/>
      <c r="G156" s="91"/>
      <c r="H156" s="91"/>
      <c r="I156" s="91"/>
      <c r="J156" s="110"/>
      <c r="K156" s="91"/>
      <c r="L156" s="91">
        <f>7000+7000+7000+7000+11857.5</f>
        <v>39857.5</v>
      </c>
      <c r="M156" s="431">
        <v>4030</v>
      </c>
      <c r="N156" s="91"/>
      <c r="O156" s="91"/>
      <c r="P156" s="91"/>
      <c r="Q156" s="91"/>
      <c r="R156" s="91"/>
      <c r="S156" s="91">
        <v>8000</v>
      </c>
      <c r="T156" s="91"/>
      <c r="U156" s="181">
        <f>SUM(C156:T156)</f>
        <v>84917.5</v>
      </c>
    </row>
    <row r="157" spans="1:21" ht="21" customHeight="1">
      <c r="A157" s="179">
        <v>320200</v>
      </c>
      <c r="B157" s="83" t="s">
        <v>267</v>
      </c>
      <c r="C157" s="91">
        <v>5600</v>
      </c>
      <c r="D157" s="91"/>
      <c r="E157" s="91"/>
      <c r="F157" s="91"/>
      <c r="G157" s="91"/>
      <c r="H157" s="91"/>
      <c r="I157" s="91"/>
      <c r="J157" s="91"/>
      <c r="K157" s="91"/>
      <c r="L157" s="91"/>
      <c r="M157" s="431"/>
      <c r="N157" s="91"/>
      <c r="O157" s="91"/>
      <c r="P157" s="91"/>
      <c r="Q157" s="91"/>
      <c r="R157" s="91"/>
      <c r="S157" s="91"/>
      <c r="T157" s="91"/>
      <c r="U157" s="181">
        <f>SUM(C157:T157)</f>
        <v>5600</v>
      </c>
    </row>
    <row r="158" spans="1:21" ht="21" customHeight="1">
      <c r="A158" s="179">
        <v>320300</v>
      </c>
      <c r="B158" s="83" t="s">
        <v>268</v>
      </c>
      <c r="C158" s="91">
        <f>10400+2280+2000+2156.4+3250+141350+42805+19570+5261+1000</f>
        <v>230072.4</v>
      </c>
      <c r="D158" s="91"/>
      <c r="E158" s="91"/>
      <c r="F158" s="91"/>
      <c r="G158" s="91">
        <f>94800+136800</f>
        <v>231600</v>
      </c>
      <c r="H158" s="91"/>
      <c r="I158" s="91"/>
      <c r="J158" s="91"/>
      <c r="K158" s="91"/>
      <c r="L158" s="91"/>
      <c r="M158" s="431"/>
      <c r="N158" s="91"/>
      <c r="O158" s="91">
        <f>8000+1940</f>
        <v>9940</v>
      </c>
      <c r="P158" s="91"/>
      <c r="Q158" s="91"/>
      <c r="R158" s="91"/>
      <c r="S158" s="91"/>
      <c r="T158" s="91"/>
      <c r="U158" s="181">
        <f>SUM(C158:T158)</f>
        <v>471612.4</v>
      </c>
    </row>
    <row r="159" spans="1:21" ht="21" customHeight="1">
      <c r="A159" s="182">
        <v>320400</v>
      </c>
      <c r="B159" s="84" t="s">
        <v>269</v>
      </c>
      <c r="C159" s="115">
        <f>1550+2940</f>
        <v>4490</v>
      </c>
      <c r="D159" s="115"/>
      <c r="E159" s="115"/>
      <c r="F159" s="115"/>
      <c r="G159" s="115"/>
      <c r="H159" s="115"/>
      <c r="I159" s="115"/>
      <c r="J159" s="319">
        <v>3250</v>
      </c>
      <c r="K159" s="115"/>
      <c r="L159" s="115"/>
      <c r="M159" s="432"/>
      <c r="N159" s="115"/>
      <c r="O159" s="115"/>
      <c r="P159" s="115"/>
      <c r="Q159" s="115"/>
      <c r="R159" s="115"/>
      <c r="S159" s="115"/>
      <c r="T159" s="115"/>
      <c r="U159" s="181">
        <f>SUM(C159:T159)</f>
        <v>7740</v>
      </c>
    </row>
    <row r="160" spans="1:23" ht="21" customHeight="1">
      <c r="A160" s="756" t="s">
        <v>252</v>
      </c>
      <c r="B160" s="757"/>
      <c r="C160" s="181">
        <f>SUM(C156:C159)</f>
        <v>273192.4</v>
      </c>
      <c r="D160" s="181">
        <f aca="true" t="shared" si="42" ref="D160:T160">SUM(D156:D159)</f>
        <v>0</v>
      </c>
      <c r="E160" s="181">
        <f t="shared" si="42"/>
        <v>0</v>
      </c>
      <c r="F160" s="181">
        <f t="shared" si="42"/>
        <v>0</v>
      </c>
      <c r="G160" s="181">
        <f t="shared" si="42"/>
        <v>231600</v>
      </c>
      <c r="H160" s="181">
        <f t="shared" si="42"/>
        <v>0</v>
      </c>
      <c r="I160" s="181">
        <f t="shared" si="42"/>
        <v>0</v>
      </c>
      <c r="J160" s="181">
        <f t="shared" si="42"/>
        <v>3250</v>
      </c>
      <c r="K160" s="181">
        <f t="shared" si="42"/>
        <v>0</v>
      </c>
      <c r="L160" s="181">
        <f t="shared" si="42"/>
        <v>39857.5</v>
      </c>
      <c r="M160" s="433">
        <f t="shared" si="42"/>
        <v>4030</v>
      </c>
      <c r="N160" s="181">
        <f t="shared" si="42"/>
        <v>0</v>
      </c>
      <c r="O160" s="181">
        <f t="shared" si="42"/>
        <v>9940</v>
      </c>
      <c r="P160" s="181">
        <f t="shared" si="42"/>
        <v>0</v>
      </c>
      <c r="Q160" s="181">
        <f t="shared" si="42"/>
        <v>0</v>
      </c>
      <c r="R160" s="181">
        <f t="shared" si="42"/>
        <v>0</v>
      </c>
      <c r="S160" s="181">
        <f t="shared" si="42"/>
        <v>8000</v>
      </c>
      <c r="T160" s="181">
        <f t="shared" si="42"/>
        <v>0</v>
      </c>
      <c r="U160" s="181">
        <f>SUM(C160:T160)</f>
        <v>569869.9</v>
      </c>
      <c r="V160" s="177">
        <f>426363.5+141350</f>
        <v>567713.5</v>
      </c>
      <c r="W160" s="211">
        <f>+V160-U160</f>
        <v>-2156.4000000000233</v>
      </c>
    </row>
    <row r="161" spans="1:21" ht="21" customHeight="1">
      <c r="A161" s="758" t="s">
        <v>253</v>
      </c>
      <c r="B161" s="759"/>
      <c r="C161" s="185">
        <f>+C160+C51</f>
        <v>305004.65</v>
      </c>
      <c r="D161" s="185">
        <f aca="true" t="shared" si="43" ref="D161:U161">+D160+D51</f>
        <v>7400</v>
      </c>
      <c r="E161" s="185">
        <f t="shared" si="43"/>
        <v>0</v>
      </c>
      <c r="F161" s="185">
        <f t="shared" si="43"/>
        <v>0</v>
      </c>
      <c r="G161" s="185">
        <f t="shared" si="43"/>
        <v>231600</v>
      </c>
      <c r="H161" s="185">
        <f t="shared" si="43"/>
        <v>0</v>
      </c>
      <c r="I161" s="185">
        <f t="shared" si="43"/>
        <v>0</v>
      </c>
      <c r="J161" s="185">
        <f t="shared" si="43"/>
        <v>3250</v>
      </c>
      <c r="K161" s="185">
        <f t="shared" si="43"/>
        <v>0</v>
      </c>
      <c r="L161" s="185">
        <f t="shared" si="43"/>
        <v>53167.5</v>
      </c>
      <c r="M161" s="185">
        <f t="shared" si="43"/>
        <v>4030</v>
      </c>
      <c r="N161" s="185">
        <f t="shared" si="43"/>
        <v>0</v>
      </c>
      <c r="O161" s="185">
        <f t="shared" si="43"/>
        <v>9940</v>
      </c>
      <c r="P161" s="185">
        <f t="shared" si="43"/>
        <v>0</v>
      </c>
      <c r="Q161" s="185">
        <f t="shared" si="43"/>
        <v>0</v>
      </c>
      <c r="R161" s="185">
        <f t="shared" si="43"/>
        <v>0</v>
      </c>
      <c r="S161" s="185">
        <f t="shared" si="43"/>
        <v>8000</v>
      </c>
      <c r="T161" s="185">
        <f t="shared" si="43"/>
        <v>0</v>
      </c>
      <c r="U161" s="185">
        <f t="shared" si="43"/>
        <v>622392.15</v>
      </c>
    </row>
    <row r="162" spans="1:21" ht="21" customHeight="1">
      <c r="A162" s="771" t="s">
        <v>295</v>
      </c>
      <c r="B162" s="772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434"/>
      <c r="N162" s="186"/>
      <c r="O162" s="186"/>
      <c r="P162" s="186"/>
      <c r="Q162" s="186"/>
      <c r="R162" s="186"/>
      <c r="S162" s="186"/>
      <c r="T162" s="186"/>
      <c r="U162" s="187">
        <f aca="true" t="shared" si="44" ref="U162:U167">SUM(C162:T162)</f>
        <v>0</v>
      </c>
    </row>
    <row r="163" spans="1:21" ht="21" customHeight="1">
      <c r="A163" s="179">
        <v>330100</v>
      </c>
      <c r="B163" s="83" t="s">
        <v>270</v>
      </c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431"/>
      <c r="N163" s="91"/>
      <c r="O163" s="91"/>
      <c r="P163" s="91"/>
      <c r="Q163" s="91"/>
      <c r="R163" s="91"/>
      <c r="S163" s="91"/>
      <c r="T163" s="91"/>
      <c r="U163" s="181">
        <f t="shared" si="44"/>
        <v>0</v>
      </c>
    </row>
    <row r="164" spans="1:21" ht="21" customHeight="1">
      <c r="A164" s="179">
        <v>330200</v>
      </c>
      <c r="B164" s="83" t="s">
        <v>271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431"/>
      <c r="N164" s="91"/>
      <c r="O164" s="91"/>
      <c r="P164" s="91"/>
      <c r="Q164" s="91"/>
      <c r="R164" s="91"/>
      <c r="S164" s="91"/>
      <c r="T164" s="91"/>
      <c r="U164" s="181">
        <f t="shared" si="44"/>
        <v>0</v>
      </c>
    </row>
    <row r="165" spans="1:21" ht="21" customHeight="1">
      <c r="A165" s="179">
        <v>330300</v>
      </c>
      <c r="B165" s="83" t="s">
        <v>406</v>
      </c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431"/>
      <c r="N165" s="91"/>
      <c r="O165" s="91"/>
      <c r="P165" s="91"/>
      <c r="Q165" s="91"/>
      <c r="R165" s="91"/>
      <c r="S165" s="91"/>
      <c r="T165" s="91"/>
      <c r="U165" s="181">
        <f t="shared" si="44"/>
        <v>0</v>
      </c>
    </row>
    <row r="166" spans="1:21" ht="21" customHeight="1">
      <c r="A166" s="179">
        <v>330400</v>
      </c>
      <c r="B166" s="83" t="s">
        <v>296</v>
      </c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431"/>
      <c r="N166" s="91"/>
      <c r="O166" s="91"/>
      <c r="P166" s="91"/>
      <c r="Q166" s="91"/>
      <c r="R166" s="91"/>
      <c r="S166" s="91"/>
      <c r="T166" s="91"/>
      <c r="U166" s="181">
        <f t="shared" si="44"/>
        <v>0</v>
      </c>
    </row>
    <row r="167" spans="1:21" ht="21" customHeight="1">
      <c r="A167" s="179">
        <v>330600</v>
      </c>
      <c r="B167" s="83" t="s">
        <v>272</v>
      </c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431"/>
      <c r="N167" s="91"/>
      <c r="O167" s="91"/>
      <c r="P167" s="91"/>
      <c r="Q167" s="91"/>
      <c r="R167" s="91"/>
      <c r="S167" s="91">
        <v>23759</v>
      </c>
      <c r="T167" s="91"/>
      <c r="U167" s="181">
        <f t="shared" si="44"/>
        <v>23759</v>
      </c>
    </row>
    <row r="168" spans="1:21" ht="21" customHeight="1">
      <c r="A168" s="179">
        <v>330800</v>
      </c>
      <c r="B168" s="83" t="s">
        <v>273</v>
      </c>
      <c r="C168" s="91"/>
      <c r="D168" s="91"/>
      <c r="E168" s="91"/>
      <c r="F168" s="91"/>
      <c r="G168" s="91"/>
      <c r="H168" s="91">
        <f>32100+7000</f>
        <v>39100</v>
      </c>
      <c r="I168" s="91"/>
      <c r="J168" s="91"/>
      <c r="K168" s="91"/>
      <c r="L168" s="91">
        <v>27000</v>
      </c>
      <c r="M168" s="431"/>
      <c r="N168" s="91"/>
      <c r="O168" s="91"/>
      <c r="P168" s="91"/>
      <c r="Q168" s="91"/>
      <c r="R168" s="91"/>
      <c r="S168" s="91"/>
      <c r="T168" s="91"/>
      <c r="U168" s="181">
        <f>SUM(C168:T168)</f>
        <v>66100</v>
      </c>
    </row>
    <row r="169" spans="1:21" ht="21" customHeight="1">
      <c r="A169" s="179">
        <v>330900</v>
      </c>
      <c r="B169" s="83" t="s">
        <v>275</v>
      </c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431"/>
      <c r="N169" s="91"/>
      <c r="O169" s="91"/>
      <c r="P169" s="91"/>
      <c r="Q169" s="91"/>
      <c r="R169" s="91"/>
      <c r="S169" s="91"/>
      <c r="T169" s="91"/>
      <c r="U169" s="181">
        <f>SUM(C169:T169)</f>
        <v>0</v>
      </c>
    </row>
    <row r="170" spans="1:21" ht="21" customHeight="1">
      <c r="A170" s="769" t="s">
        <v>216</v>
      </c>
      <c r="B170" s="769"/>
      <c r="C170" s="768" t="s">
        <v>218</v>
      </c>
      <c r="D170" s="768"/>
      <c r="E170" s="446" t="s">
        <v>221</v>
      </c>
      <c r="F170" s="768" t="s">
        <v>223</v>
      </c>
      <c r="G170" s="769"/>
      <c r="H170" s="446" t="s">
        <v>237</v>
      </c>
      <c r="I170" s="446" t="s">
        <v>238</v>
      </c>
      <c r="J170" s="765" t="s">
        <v>239</v>
      </c>
      <c r="K170" s="766"/>
      <c r="L170" s="767"/>
      <c r="M170" s="445" t="s">
        <v>240</v>
      </c>
      <c r="N170" s="765" t="s">
        <v>241</v>
      </c>
      <c r="O170" s="766"/>
      <c r="P170" s="767"/>
      <c r="Q170" s="768" t="s">
        <v>242</v>
      </c>
      <c r="R170" s="769"/>
      <c r="S170" s="446" t="s">
        <v>306</v>
      </c>
      <c r="T170" s="446" t="s">
        <v>243</v>
      </c>
      <c r="U170" s="770" t="s">
        <v>17</v>
      </c>
    </row>
    <row r="171" spans="1:21" ht="21" customHeight="1">
      <c r="A171" s="769" t="s">
        <v>217</v>
      </c>
      <c r="B171" s="769"/>
      <c r="C171" s="446" t="s">
        <v>219</v>
      </c>
      <c r="D171" s="446" t="s">
        <v>220</v>
      </c>
      <c r="E171" s="446" t="s">
        <v>312</v>
      </c>
      <c r="F171" s="446" t="s">
        <v>224</v>
      </c>
      <c r="G171" s="446" t="s">
        <v>225</v>
      </c>
      <c r="H171" s="446" t="s">
        <v>227</v>
      </c>
      <c r="I171" s="446" t="s">
        <v>228</v>
      </c>
      <c r="J171" s="446" t="s">
        <v>229</v>
      </c>
      <c r="K171" s="446" t="s">
        <v>230</v>
      </c>
      <c r="L171" s="446" t="s">
        <v>431</v>
      </c>
      <c r="M171" s="445" t="s">
        <v>231</v>
      </c>
      <c r="N171" s="446" t="s">
        <v>232</v>
      </c>
      <c r="O171" s="446" t="s">
        <v>233</v>
      </c>
      <c r="P171" s="446" t="s">
        <v>314</v>
      </c>
      <c r="Q171" s="446" t="s">
        <v>234</v>
      </c>
      <c r="R171" s="446" t="s">
        <v>235</v>
      </c>
      <c r="S171" s="446" t="s">
        <v>307</v>
      </c>
      <c r="T171" s="446" t="s">
        <v>236</v>
      </c>
      <c r="U171" s="770"/>
    </row>
    <row r="172" spans="1:21" ht="21" customHeight="1">
      <c r="A172" s="179">
        <v>331200</v>
      </c>
      <c r="B172" s="83" t="s">
        <v>276</v>
      </c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431"/>
      <c r="N172" s="91"/>
      <c r="O172" s="91"/>
      <c r="P172" s="91"/>
      <c r="Q172" s="91"/>
      <c r="R172" s="91"/>
      <c r="S172" s="91"/>
      <c r="T172" s="91"/>
      <c r="U172" s="181">
        <f aca="true" t="shared" si="45" ref="U172:U177">SUM(C172:T172)</f>
        <v>0</v>
      </c>
    </row>
    <row r="173" spans="1:21" ht="21" customHeight="1">
      <c r="A173" s="179">
        <v>331300</v>
      </c>
      <c r="B173" s="83" t="s">
        <v>277</v>
      </c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431"/>
      <c r="N173" s="91"/>
      <c r="O173" s="91"/>
      <c r="P173" s="91"/>
      <c r="Q173" s="91"/>
      <c r="R173" s="91"/>
      <c r="S173" s="91"/>
      <c r="T173" s="91"/>
      <c r="U173" s="181">
        <f t="shared" si="45"/>
        <v>0</v>
      </c>
    </row>
    <row r="174" spans="1:21" ht="21" customHeight="1">
      <c r="A174" s="179">
        <v>331400</v>
      </c>
      <c r="B174" s="83" t="s">
        <v>274</v>
      </c>
      <c r="C174" s="91"/>
      <c r="D174" s="91">
        <v>11730</v>
      </c>
      <c r="E174" s="91"/>
      <c r="F174" s="91"/>
      <c r="G174" s="91"/>
      <c r="H174" s="91">
        <v>5180</v>
      </c>
      <c r="I174" s="91"/>
      <c r="J174" s="91"/>
      <c r="K174" s="91"/>
      <c r="L174" s="91"/>
      <c r="M174" s="431"/>
      <c r="N174" s="91"/>
      <c r="O174" s="91"/>
      <c r="P174" s="91"/>
      <c r="Q174" s="91"/>
      <c r="R174" s="91"/>
      <c r="S174" s="91"/>
      <c r="T174" s="91"/>
      <c r="U174" s="181">
        <f t="shared" si="45"/>
        <v>16910</v>
      </c>
    </row>
    <row r="175" spans="1:21" ht="21" customHeight="1">
      <c r="A175" s="179">
        <v>331500</v>
      </c>
      <c r="B175" s="83" t="s">
        <v>278</v>
      </c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431"/>
      <c r="N175" s="91"/>
      <c r="O175" s="91"/>
      <c r="P175" s="91"/>
      <c r="Q175" s="91"/>
      <c r="R175" s="91"/>
      <c r="S175" s="91"/>
      <c r="T175" s="91"/>
      <c r="U175" s="181">
        <f t="shared" si="45"/>
        <v>0</v>
      </c>
    </row>
    <row r="176" spans="1:21" ht="21" customHeight="1">
      <c r="A176" s="182">
        <v>331700</v>
      </c>
      <c r="B176" s="84" t="s">
        <v>279</v>
      </c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432"/>
      <c r="N176" s="115"/>
      <c r="O176" s="115"/>
      <c r="P176" s="115"/>
      <c r="Q176" s="115"/>
      <c r="R176" s="115"/>
      <c r="S176" s="115"/>
      <c r="T176" s="115"/>
      <c r="U176" s="181">
        <f t="shared" si="45"/>
        <v>0</v>
      </c>
    </row>
    <row r="177" spans="1:21" ht="21" customHeight="1">
      <c r="A177" s="756" t="s">
        <v>252</v>
      </c>
      <c r="B177" s="757"/>
      <c r="C177" s="181">
        <f>SUM(C163:C176)</f>
        <v>0</v>
      </c>
      <c r="D177" s="181">
        <f aca="true" t="shared" si="46" ref="D177:M177">SUM(D163:D176)</f>
        <v>11730</v>
      </c>
      <c r="E177" s="181">
        <f t="shared" si="46"/>
        <v>0</v>
      </c>
      <c r="F177" s="181">
        <f t="shared" si="46"/>
        <v>0</v>
      </c>
      <c r="G177" s="181">
        <f t="shared" si="46"/>
        <v>0</v>
      </c>
      <c r="H177" s="181">
        <f t="shared" si="46"/>
        <v>44280</v>
      </c>
      <c r="I177" s="181">
        <f t="shared" si="46"/>
        <v>0</v>
      </c>
      <c r="J177" s="181">
        <f t="shared" si="46"/>
        <v>0</v>
      </c>
      <c r="K177" s="181">
        <f t="shared" si="46"/>
        <v>0</v>
      </c>
      <c r="L177" s="181">
        <f t="shared" si="46"/>
        <v>27000</v>
      </c>
      <c r="M177" s="433">
        <f t="shared" si="46"/>
        <v>0</v>
      </c>
      <c r="N177" s="181">
        <f>SUM(N163:N176)</f>
        <v>0</v>
      </c>
      <c r="O177" s="181">
        <f>SUM(O163:O176)</f>
        <v>0</v>
      </c>
      <c r="P177" s="181"/>
      <c r="Q177" s="181">
        <f>SUM(Q163:Q176)</f>
        <v>0</v>
      </c>
      <c r="R177" s="181">
        <f>SUM(R163:R176)</f>
        <v>0</v>
      </c>
      <c r="S177" s="181">
        <f>SUM(S163:S176)</f>
        <v>23759</v>
      </c>
      <c r="T177" s="181">
        <f>SUM(T163:T176)</f>
        <v>0</v>
      </c>
      <c r="U177" s="181">
        <f t="shared" si="45"/>
        <v>106769</v>
      </c>
    </row>
    <row r="178" spans="1:21" ht="21" customHeight="1">
      <c r="A178" s="758" t="s">
        <v>253</v>
      </c>
      <c r="B178" s="759"/>
      <c r="C178" s="185">
        <f>+C177+C68</f>
        <v>7830</v>
      </c>
      <c r="D178" s="185">
        <f aca="true" t="shared" si="47" ref="D178:U178">+D177+D68</f>
        <v>11730</v>
      </c>
      <c r="E178" s="185">
        <f t="shared" si="47"/>
        <v>0</v>
      </c>
      <c r="F178" s="185">
        <f t="shared" si="47"/>
        <v>0</v>
      </c>
      <c r="G178" s="185">
        <f t="shared" si="47"/>
        <v>0</v>
      </c>
      <c r="H178" s="185">
        <f t="shared" si="47"/>
        <v>44280</v>
      </c>
      <c r="I178" s="185">
        <f t="shared" si="47"/>
        <v>0</v>
      </c>
      <c r="J178" s="185">
        <f t="shared" si="47"/>
        <v>0</v>
      </c>
      <c r="K178" s="185">
        <f t="shared" si="47"/>
        <v>0</v>
      </c>
      <c r="L178" s="185">
        <f t="shared" si="47"/>
        <v>27000</v>
      </c>
      <c r="M178" s="185">
        <f t="shared" si="47"/>
        <v>0</v>
      </c>
      <c r="N178" s="185">
        <f t="shared" si="47"/>
        <v>0</v>
      </c>
      <c r="O178" s="185">
        <f t="shared" si="47"/>
        <v>0</v>
      </c>
      <c r="P178" s="185">
        <f t="shared" si="47"/>
        <v>0</v>
      </c>
      <c r="Q178" s="185">
        <f t="shared" si="47"/>
        <v>0</v>
      </c>
      <c r="R178" s="185">
        <f t="shared" si="47"/>
        <v>0</v>
      </c>
      <c r="S178" s="185">
        <f t="shared" si="47"/>
        <v>23759</v>
      </c>
      <c r="T178" s="185">
        <f t="shared" si="47"/>
        <v>0</v>
      </c>
      <c r="U178" s="185">
        <f t="shared" si="47"/>
        <v>114599</v>
      </c>
    </row>
    <row r="179" spans="1:21" ht="21" customHeight="1">
      <c r="A179" s="771" t="s">
        <v>297</v>
      </c>
      <c r="B179" s="772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434"/>
      <c r="N179" s="186"/>
      <c r="O179" s="186"/>
      <c r="P179" s="186"/>
      <c r="Q179" s="186"/>
      <c r="R179" s="186"/>
      <c r="S179" s="186"/>
      <c r="T179" s="186"/>
      <c r="U179" s="187">
        <f aca="true" t="shared" si="48" ref="U179:U184">SUM(C179:T179)</f>
        <v>0</v>
      </c>
    </row>
    <row r="180" spans="1:21" ht="21" customHeight="1">
      <c r="A180" s="179">
        <v>340100</v>
      </c>
      <c r="B180" s="83" t="s">
        <v>280</v>
      </c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431"/>
      <c r="N180" s="91"/>
      <c r="O180" s="91"/>
      <c r="P180" s="91"/>
      <c r="Q180" s="91"/>
      <c r="R180" s="91"/>
      <c r="S180" s="91">
        <v>541.09</v>
      </c>
      <c r="T180" s="91"/>
      <c r="U180" s="181">
        <f t="shared" si="48"/>
        <v>541.09</v>
      </c>
    </row>
    <row r="181" spans="1:21" ht="21" customHeight="1">
      <c r="A181" s="179">
        <v>340300</v>
      </c>
      <c r="B181" s="83" t="s">
        <v>281</v>
      </c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431"/>
      <c r="N181" s="91"/>
      <c r="O181" s="91"/>
      <c r="P181" s="91"/>
      <c r="Q181" s="91"/>
      <c r="R181" s="91"/>
      <c r="S181" s="91"/>
      <c r="T181" s="91"/>
      <c r="U181" s="181">
        <f t="shared" si="48"/>
        <v>0</v>
      </c>
    </row>
    <row r="182" spans="1:21" ht="21" customHeight="1">
      <c r="A182" s="179">
        <v>340400</v>
      </c>
      <c r="B182" s="83" t="s">
        <v>282</v>
      </c>
      <c r="C182" s="91"/>
      <c r="D182" s="91"/>
      <c r="E182" s="91"/>
      <c r="F182" s="91"/>
      <c r="G182" s="91"/>
      <c r="H182" s="91">
        <v>3105</v>
      </c>
      <c r="I182" s="91"/>
      <c r="J182" s="91"/>
      <c r="K182" s="91"/>
      <c r="L182" s="91"/>
      <c r="M182" s="431"/>
      <c r="N182" s="91"/>
      <c r="O182" s="91"/>
      <c r="P182" s="91"/>
      <c r="Q182" s="91"/>
      <c r="R182" s="91"/>
      <c r="S182" s="91"/>
      <c r="T182" s="91"/>
      <c r="U182" s="181">
        <f t="shared" si="48"/>
        <v>3105</v>
      </c>
    </row>
    <row r="183" spans="1:21" ht="21" customHeight="1">
      <c r="A183" s="182">
        <v>340500</v>
      </c>
      <c r="B183" s="84" t="s">
        <v>283</v>
      </c>
      <c r="C183" s="91"/>
      <c r="D183" s="115"/>
      <c r="E183" s="115"/>
      <c r="F183" s="115"/>
      <c r="G183" s="115"/>
      <c r="H183" s="115"/>
      <c r="I183" s="115"/>
      <c r="J183" s="115"/>
      <c r="K183" s="115"/>
      <c r="L183" s="115"/>
      <c r="M183" s="432"/>
      <c r="N183" s="115"/>
      <c r="O183" s="115"/>
      <c r="P183" s="115"/>
      <c r="Q183" s="115"/>
      <c r="R183" s="115"/>
      <c r="S183" s="115"/>
      <c r="T183" s="115"/>
      <c r="U183" s="184">
        <f t="shared" si="48"/>
        <v>0</v>
      </c>
    </row>
    <row r="184" spans="1:21" ht="21" customHeight="1">
      <c r="A184" s="756" t="s">
        <v>252</v>
      </c>
      <c r="B184" s="757"/>
      <c r="C184" s="181">
        <f>SUM(C180:C183)</f>
        <v>0</v>
      </c>
      <c r="D184" s="181">
        <f aca="true" t="shared" si="49" ref="D184:L184">SUM(D180:D183)</f>
        <v>0</v>
      </c>
      <c r="E184" s="181">
        <f t="shared" si="49"/>
        <v>0</v>
      </c>
      <c r="F184" s="181">
        <f t="shared" si="49"/>
        <v>0</v>
      </c>
      <c r="G184" s="181">
        <f t="shared" si="49"/>
        <v>0</v>
      </c>
      <c r="H184" s="181">
        <f t="shared" si="49"/>
        <v>3105</v>
      </c>
      <c r="I184" s="181">
        <f t="shared" si="49"/>
        <v>0</v>
      </c>
      <c r="J184" s="181">
        <f t="shared" si="49"/>
        <v>0</v>
      </c>
      <c r="K184" s="181">
        <f t="shared" si="49"/>
        <v>0</v>
      </c>
      <c r="L184" s="181">
        <f t="shared" si="49"/>
        <v>0</v>
      </c>
      <c r="M184" s="433">
        <f>SUM(M180:M183)</f>
        <v>0</v>
      </c>
      <c r="N184" s="181">
        <f>SUM(N180:N183)</f>
        <v>0</v>
      </c>
      <c r="O184" s="181">
        <f>SUM(O180:O183)</f>
        <v>0</v>
      </c>
      <c r="P184" s="181"/>
      <c r="Q184" s="181">
        <f>SUM(Q180:Q183)</f>
        <v>0</v>
      </c>
      <c r="R184" s="181">
        <f>SUM(R180:R183)</f>
        <v>0</v>
      </c>
      <c r="S184" s="181">
        <f>SUM(S180:S183)</f>
        <v>541.09</v>
      </c>
      <c r="T184" s="181">
        <f>SUM(T180:T183)</f>
        <v>0</v>
      </c>
      <c r="U184" s="181">
        <f t="shared" si="48"/>
        <v>3646.09</v>
      </c>
    </row>
    <row r="185" spans="1:21" ht="21" customHeight="1">
      <c r="A185" s="758" t="s">
        <v>253</v>
      </c>
      <c r="B185" s="759"/>
      <c r="C185" s="185">
        <f>+C184+C75</f>
        <v>38151.28999999999</v>
      </c>
      <c r="D185" s="185">
        <f aca="true" t="shared" si="50" ref="D185:U185">+D184+D75</f>
        <v>0</v>
      </c>
      <c r="E185" s="185">
        <f t="shared" si="50"/>
        <v>0</v>
      </c>
      <c r="F185" s="185">
        <f t="shared" si="50"/>
        <v>0</v>
      </c>
      <c r="G185" s="185">
        <f t="shared" si="50"/>
        <v>0</v>
      </c>
      <c r="H185" s="185">
        <f t="shared" si="50"/>
        <v>3105</v>
      </c>
      <c r="I185" s="185">
        <f t="shared" si="50"/>
        <v>0</v>
      </c>
      <c r="J185" s="185">
        <f t="shared" si="50"/>
        <v>0</v>
      </c>
      <c r="K185" s="185">
        <f t="shared" si="50"/>
        <v>0</v>
      </c>
      <c r="L185" s="185">
        <f t="shared" si="50"/>
        <v>0</v>
      </c>
      <c r="M185" s="185">
        <f t="shared" si="50"/>
        <v>0</v>
      </c>
      <c r="N185" s="185">
        <f t="shared" si="50"/>
        <v>0</v>
      </c>
      <c r="O185" s="185">
        <f t="shared" si="50"/>
        <v>0</v>
      </c>
      <c r="P185" s="185">
        <f t="shared" si="50"/>
        <v>0</v>
      </c>
      <c r="Q185" s="185">
        <f t="shared" si="50"/>
        <v>0</v>
      </c>
      <c r="R185" s="185">
        <f t="shared" si="50"/>
        <v>0</v>
      </c>
      <c r="S185" s="185">
        <f t="shared" si="50"/>
        <v>48116.38</v>
      </c>
      <c r="T185" s="185">
        <f t="shared" si="50"/>
        <v>0</v>
      </c>
      <c r="U185" s="185">
        <f t="shared" si="50"/>
        <v>89372.66999999998</v>
      </c>
    </row>
    <row r="186" spans="1:21" ht="21" customHeight="1">
      <c r="A186" s="771" t="s">
        <v>298</v>
      </c>
      <c r="B186" s="772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434"/>
      <c r="N186" s="186"/>
      <c r="O186" s="186"/>
      <c r="P186" s="186"/>
      <c r="Q186" s="186"/>
      <c r="R186" s="186"/>
      <c r="S186" s="186"/>
      <c r="T186" s="186"/>
      <c r="U186" s="187">
        <f aca="true" t="shared" si="51" ref="U186:U198">SUM(C186:T186)</f>
        <v>0</v>
      </c>
    </row>
    <row r="187" spans="1:21" ht="21" customHeight="1">
      <c r="A187" s="179">
        <v>410400</v>
      </c>
      <c r="B187" s="83" t="s">
        <v>284</v>
      </c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431"/>
      <c r="N187" s="91"/>
      <c r="O187" s="91"/>
      <c r="P187" s="91"/>
      <c r="Q187" s="91"/>
      <c r="R187" s="91"/>
      <c r="S187" s="91"/>
      <c r="T187" s="91"/>
      <c r="U187" s="181">
        <f t="shared" si="51"/>
        <v>0</v>
      </c>
    </row>
    <row r="188" spans="1:21" ht="21" customHeight="1">
      <c r="A188" s="179">
        <v>410200</v>
      </c>
      <c r="B188" s="83" t="s">
        <v>344</v>
      </c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431"/>
      <c r="N188" s="91"/>
      <c r="O188" s="91"/>
      <c r="P188" s="91"/>
      <c r="Q188" s="91"/>
      <c r="R188" s="91"/>
      <c r="S188" s="91"/>
      <c r="T188" s="91"/>
      <c r="U188" s="181">
        <f t="shared" si="51"/>
        <v>0</v>
      </c>
    </row>
    <row r="189" spans="1:21" ht="21" customHeight="1">
      <c r="A189" s="179">
        <v>410300</v>
      </c>
      <c r="B189" s="83" t="s">
        <v>285</v>
      </c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431"/>
      <c r="N189" s="91"/>
      <c r="O189" s="91"/>
      <c r="P189" s="91"/>
      <c r="Q189" s="91"/>
      <c r="R189" s="91"/>
      <c r="S189" s="91"/>
      <c r="T189" s="91"/>
      <c r="U189" s="181">
        <f t="shared" si="51"/>
        <v>0</v>
      </c>
    </row>
    <row r="190" spans="1:21" ht="21" customHeight="1">
      <c r="A190" s="179">
        <v>410400</v>
      </c>
      <c r="B190" s="83" t="s">
        <v>345</v>
      </c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432"/>
      <c r="N190" s="115"/>
      <c r="O190" s="115"/>
      <c r="P190" s="115"/>
      <c r="Q190" s="115"/>
      <c r="R190" s="115"/>
      <c r="S190" s="115"/>
      <c r="T190" s="115"/>
      <c r="U190" s="181">
        <f t="shared" si="51"/>
        <v>0</v>
      </c>
    </row>
    <row r="191" spans="1:21" ht="21" customHeight="1">
      <c r="A191" s="179">
        <v>410500</v>
      </c>
      <c r="B191" s="83" t="s">
        <v>346</v>
      </c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432"/>
      <c r="N191" s="115"/>
      <c r="O191" s="115"/>
      <c r="P191" s="115"/>
      <c r="Q191" s="115"/>
      <c r="R191" s="115"/>
      <c r="S191" s="115"/>
      <c r="T191" s="115"/>
      <c r="U191" s="181">
        <f t="shared" si="51"/>
        <v>0</v>
      </c>
    </row>
    <row r="192" spans="1:21" ht="21" customHeight="1">
      <c r="A192" s="179">
        <v>410600</v>
      </c>
      <c r="B192" s="83" t="s">
        <v>347</v>
      </c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432"/>
      <c r="N192" s="115"/>
      <c r="O192" s="115"/>
      <c r="P192" s="115"/>
      <c r="Q192" s="115"/>
      <c r="R192" s="115"/>
      <c r="S192" s="115"/>
      <c r="T192" s="115"/>
      <c r="U192" s="181">
        <f t="shared" si="51"/>
        <v>0</v>
      </c>
    </row>
    <row r="193" spans="1:21" ht="21" customHeight="1">
      <c r="A193" s="179">
        <v>410700</v>
      </c>
      <c r="B193" s="83" t="s">
        <v>286</v>
      </c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431"/>
      <c r="N193" s="91"/>
      <c r="O193" s="91"/>
      <c r="P193" s="91"/>
      <c r="Q193" s="91"/>
      <c r="R193" s="91"/>
      <c r="S193" s="91"/>
      <c r="T193" s="91"/>
      <c r="U193" s="181">
        <f t="shared" si="51"/>
        <v>0</v>
      </c>
    </row>
    <row r="194" spans="1:21" ht="21" customHeight="1">
      <c r="A194" s="179">
        <v>410800</v>
      </c>
      <c r="B194" s="83" t="s">
        <v>348</v>
      </c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432"/>
      <c r="N194" s="115"/>
      <c r="O194" s="115"/>
      <c r="P194" s="115"/>
      <c r="Q194" s="115"/>
      <c r="R194" s="115"/>
      <c r="S194" s="115"/>
      <c r="T194" s="115"/>
      <c r="U194" s="181">
        <f t="shared" si="51"/>
        <v>0</v>
      </c>
    </row>
    <row r="195" spans="1:21" ht="21" customHeight="1">
      <c r="A195" s="179">
        <v>410900</v>
      </c>
      <c r="B195" s="83" t="s">
        <v>529</v>
      </c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432"/>
      <c r="N195" s="115"/>
      <c r="O195" s="115"/>
      <c r="P195" s="115"/>
      <c r="Q195" s="115"/>
      <c r="R195" s="115"/>
      <c r="S195" s="115"/>
      <c r="T195" s="115"/>
      <c r="U195" s="181">
        <f t="shared" si="51"/>
        <v>0</v>
      </c>
    </row>
    <row r="196" spans="1:21" ht="21" customHeight="1">
      <c r="A196" s="179">
        <v>411600</v>
      </c>
      <c r="B196" s="83" t="s">
        <v>349</v>
      </c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431"/>
      <c r="N196" s="91"/>
      <c r="O196" s="91"/>
      <c r="P196" s="91"/>
      <c r="Q196" s="91"/>
      <c r="R196" s="91"/>
      <c r="S196" s="91"/>
      <c r="T196" s="91"/>
      <c r="U196" s="181">
        <f t="shared" si="51"/>
        <v>0</v>
      </c>
    </row>
    <row r="197" spans="1:21" ht="21" customHeight="1">
      <c r="A197" s="179">
        <v>411800</v>
      </c>
      <c r="B197" s="83" t="s">
        <v>287</v>
      </c>
      <c r="C197" s="91"/>
      <c r="D197" s="91"/>
      <c r="E197" s="91"/>
      <c r="F197" s="91"/>
      <c r="G197" s="91"/>
      <c r="H197" s="91"/>
      <c r="I197" s="91"/>
      <c r="J197" s="91">
        <v>7900</v>
      </c>
      <c r="K197" s="91"/>
      <c r="L197" s="91"/>
      <c r="M197" s="431"/>
      <c r="N197" s="91"/>
      <c r="O197" s="91"/>
      <c r="P197" s="91"/>
      <c r="Q197" s="91"/>
      <c r="R197" s="91"/>
      <c r="S197" s="91"/>
      <c r="T197" s="91"/>
      <c r="U197" s="181">
        <f t="shared" si="51"/>
        <v>7900</v>
      </c>
    </row>
    <row r="198" spans="1:21" ht="21" customHeight="1">
      <c r="A198" s="756" t="s">
        <v>252</v>
      </c>
      <c r="B198" s="757"/>
      <c r="C198" s="181">
        <f>SUM(C187:C197)</f>
        <v>0</v>
      </c>
      <c r="D198" s="181">
        <f aca="true" t="shared" si="52" ref="D198:L198">SUM(D187:D197)</f>
        <v>0</v>
      </c>
      <c r="E198" s="181">
        <f t="shared" si="52"/>
        <v>0</v>
      </c>
      <c r="F198" s="181">
        <f t="shared" si="52"/>
        <v>0</v>
      </c>
      <c r="G198" s="181">
        <f t="shared" si="52"/>
        <v>0</v>
      </c>
      <c r="H198" s="181">
        <f t="shared" si="52"/>
        <v>0</v>
      </c>
      <c r="I198" s="181">
        <f t="shared" si="52"/>
        <v>0</v>
      </c>
      <c r="J198" s="181">
        <f t="shared" si="52"/>
        <v>7900</v>
      </c>
      <c r="K198" s="181">
        <f t="shared" si="52"/>
        <v>0</v>
      </c>
      <c r="L198" s="181">
        <f t="shared" si="52"/>
        <v>0</v>
      </c>
      <c r="M198" s="433">
        <f>SUM(M187:M197)</f>
        <v>0</v>
      </c>
      <c r="N198" s="181">
        <f>SUM(N187:N197)</f>
        <v>0</v>
      </c>
      <c r="O198" s="181">
        <f>SUM(O187:O197)</f>
        <v>0</v>
      </c>
      <c r="P198" s="181"/>
      <c r="Q198" s="181">
        <f>SUM(Q187:Q197)</f>
        <v>0</v>
      </c>
      <c r="R198" s="181">
        <f>SUM(R187:R197)</f>
        <v>0</v>
      </c>
      <c r="S198" s="181">
        <f>SUM(S187:S197)</f>
        <v>0</v>
      </c>
      <c r="T198" s="181">
        <f>SUM(T187:T197)</f>
        <v>0</v>
      </c>
      <c r="U198" s="181">
        <f t="shared" si="51"/>
        <v>7900</v>
      </c>
    </row>
    <row r="199" spans="1:21" ht="21" customHeight="1">
      <c r="A199" s="758" t="s">
        <v>253</v>
      </c>
      <c r="B199" s="759"/>
      <c r="C199" s="185">
        <f>+C198+C89</f>
        <v>0</v>
      </c>
      <c r="D199" s="185">
        <f aca="true" t="shared" si="53" ref="D199:U199">+D198+D89</f>
        <v>0</v>
      </c>
      <c r="E199" s="185">
        <f t="shared" si="53"/>
        <v>0</v>
      </c>
      <c r="F199" s="185">
        <f t="shared" si="53"/>
        <v>0</v>
      </c>
      <c r="G199" s="185">
        <f t="shared" si="53"/>
        <v>0</v>
      </c>
      <c r="H199" s="185">
        <f t="shared" si="53"/>
        <v>0</v>
      </c>
      <c r="I199" s="185">
        <f t="shared" si="53"/>
        <v>0</v>
      </c>
      <c r="J199" s="185">
        <f t="shared" si="53"/>
        <v>7900</v>
      </c>
      <c r="K199" s="185">
        <f t="shared" si="53"/>
        <v>0</v>
      </c>
      <c r="L199" s="185">
        <f t="shared" si="53"/>
        <v>0</v>
      </c>
      <c r="M199" s="185">
        <f t="shared" si="53"/>
        <v>0</v>
      </c>
      <c r="N199" s="185">
        <f t="shared" si="53"/>
        <v>0</v>
      </c>
      <c r="O199" s="185">
        <f t="shared" si="53"/>
        <v>0</v>
      </c>
      <c r="P199" s="185">
        <f t="shared" si="53"/>
        <v>0</v>
      </c>
      <c r="Q199" s="185">
        <f t="shared" si="53"/>
        <v>0</v>
      </c>
      <c r="R199" s="185">
        <f t="shared" si="53"/>
        <v>0</v>
      </c>
      <c r="S199" s="185">
        <f t="shared" si="53"/>
        <v>0</v>
      </c>
      <c r="T199" s="185">
        <f t="shared" si="53"/>
        <v>0</v>
      </c>
      <c r="U199" s="185">
        <f t="shared" si="53"/>
        <v>7900</v>
      </c>
    </row>
    <row r="200" spans="1:21" ht="21" customHeight="1">
      <c r="A200" s="769" t="s">
        <v>216</v>
      </c>
      <c r="B200" s="769"/>
      <c r="C200" s="768" t="s">
        <v>218</v>
      </c>
      <c r="D200" s="768"/>
      <c r="E200" s="446" t="s">
        <v>221</v>
      </c>
      <c r="F200" s="768" t="s">
        <v>223</v>
      </c>
      <c r="G200" s="769"/>
      <c r="H200" s="446" t="s">
        <v>237</v>
      </c>
      <c r="I200" s="446" t="s">
        <v>238</v>
      </c>
      <c r="J200" s="765" t="s">
        <v>239</v>
      </c>
      <c r="K200" s="766"/>
      <c r="L200" s="767"/>
      <c r="M200" s="445" t="s">
        <v>240</v>
      </c>
      <c r="N200" s="765" t="s">
        <v>241</v>
      </c>
      <c r="O200" s="766"/>
      <c r="P200" s="767"/>
      <c r="Q200" s="768" t="s">
        <v>242</v>
      </c>
      <c r="R200" s="769"/>
      <c r="S200" s="446" t="s">
        <v>306</v>
      </c>
      <c r="T200" s="446" t="s">
        <v>243</v>
      </c>
      <c r="U200" s="770" t="s">
        <v>17</v>
      </c>
    </row>
    <row r="201" spans="1:21" ht="21" customHeight="1">
      <c r="A201" s="769" t="s">
        <v>217</v>
      </c>
      <c r="B201" s="769"/>
      <c r="C201" s="446" t="s">
        <v>219</v>
      </c>
      <c r="D201" s="446" t="s">
        <v>220</v>
      </c>
      <c r="E201" s="446" t="s">
        <v>312</v>
      </c>
      <c r="F201" s="446" t="s">
        <v>224</v>
      </c>
      <c r="G201" s="446" t="s">
        <v>225</v>
      </c>
      <c r="H201" s="446" t="s">
        <v>227</v>
      </c>
      <c r="I201" s="446" t="s">
        <v>228</v>
      </c>
      <c r="J201" s="446" t="s">
        <v>229</v>
      </c>
      <c r="K201" s="446" t="s">
        <v>230</v>
      </c>
      <c r="L201" s="446" t="s">
        <v>431</v>
      </c>
      <c r="M201" s="445" t="s">
        <v>231</v>
      </c>
      <c r="N201" s="446" t="s">
        <v>232</v>
      </c>
      <c r="O201" s="446" t="s">
        <v>233</v>
      </c>
      <c r="P201" s="446" t="s">
        <v>314</v>
      </c>
      <c r="Q201" s="446" t="s">
        <v>234</v>
      </c>
      <c r="R201" s="446" t="s">
        <v>235</v>
      </c>
      <c r="S201" s="446" t="s">
        <v>307</v>
      </c>
      <c r="T201" s="446" t="s">
        <v>236</v>
      </c>
      <c r="U201" s="770"/>
    </row>
    <row r="202" spans="1:21" ht="21" customHeight="1">
      <c r="A202" s="771" t="s">
        <v>299</v>
      </c>
      <c r="B202" s="772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434"/>
      <c r="N202" s="186"/>
      <c r="O202" s="186"/>
      <c r="P202" s="186"/>
      <c r="Q202" s="186"/>
      <c r="R202" s="186"/>
      <c r="S202" s="186"/>
      <c r="T202" s="186"/>
      <c r="U202" s="187">
        <f>SUM(C202:T202)</f>
        <v>0</v>
      </c>
    </row>
    <row r="203" spans="1:21" ht="21" customHeight="1">
      <c r="A203" s="179">
        <v>429000</v>
      </c>
      <c r="B203" s="180" t="s">
        <v>10</v>
      </c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431"/>
      <c r="N203" s="91"/>
      <c r="O203" s="91"/>
      <c r="P203" s="91"/>
      <c r="Q203" s="91"/>
      <c r="R203" s="91"/>
      <c r="S203" s="91"/>
      <c r="T203" s="91"/>
      <c r="U203" s="181">
        <f>SUM(C203:T203)</f>
        <v>0</v>
      </c>
    </row>
    <row r="204" spans="1:21" ht="21" customHeight="1">
      <c r="A204" s="182">
        <v>421000</v>
      </c>
      <c r="B204" s="183" t="s">
        <v>303</v>
      </c>
      <c r="C204" s="115"/>
      <c r="D204" s="115"/>
      <c r="E204" s="115"/>
      <c r="F204" s="115"/>
      <c r="G204" s="115"/>
      <c r="H204" s="115"/>
      <c r="I204" s="115"/>
      <c r="J204" s="115"/>
      <c r="K204" s="115">
        <v>98500</v>
      </c>
      <c r="L204" s="115"/>
      <c r="M204" s="432"/>
      <c r="N204" s="115"/>
      <c r="O204" s="115"/>
      <c r="P204" s="115"/>
      <c r="Q204" s="115"/>
      <c r="R204" s="115"/>
      <c r="S204" s="115"/>
      <c r="T204" s="115"/>
      <c r="U204" s="184">
        <f>SUM(C204:T204)</f>
        <v>98500</v>
      </c>
    </row>
    <row r="205" spans="1:21" ht="21" customHeight="1">
      <c r="A205" s="756" t="s">
        <v>252</v>
      </c>
      <c r="B205" s="757"/>
      <c r="C205" s="181">
        <f>SUM(C203:C204)</f>
        <v>0</v>
      </c>
      <c r="D205" s="181">
        <f aca="true" t="shared" si="54" ref="D205:S205">SUM(D203:D204)</f>
        <v>0</v>
      </c>
      <c r="E205" s="181">
        <f t="shared" si="54"/>
        <v>0</v>
      </c>
      <c r="F205" s="181">
        <f t="shared" si="54"/>
        <v>0</v>
      </c>
      <c r="G205" s="181">
        <f t="shared" si="54"/>
        <v>0</v>
      </c>
      <c r="H205" s="181">
        <f t="shared" si="54"/>
        <v>0</v>
      </c>
      <c r="I205" s="181">
        <f t="shared" si="54"/>
        <v>0</v>
      </c>
      <c r="J205" s="181">
        <f t="shared" si="54"/>
        <v>0</v>
      </c>
      <c r="K205" s="181">
        <f t="shared" si="54"/>
        <v>98500</v>
      </c>
      <c r="L205" s="181">
        <f t="shared" si="54"/>
        <v>0</v>
      </c>
      <c r="M205" s="433">
        <f t="shared" si="54"/>
        <v>0</v>
      </c>
      <c r="N205" s="181">
        <f t="shared" si="54"/>
        <v>0</v>
      </c>
      <c r="O205" s="181">
        <f t="shared" si="54"/>
        <v>0</v>
      </c>
      <c r="P205" s="181">
        <f t="shared" si="54"/>
        <v>0</v>
      </c>
      <c r="Q205" s="181">
        <f t="shared" si="54"/>
        <v>0</v>
      </c>
      <c r="R205" s="181">
        <f t="shared" si="54"/>
        <v>0</v>
      </c>
      <c r="S205" s="181">
        <f t="shared" si="54"/>
        <v>0</v>
      </c>
      <c r="T205" s="181">
        <f>SUM(T203:T204)</f>
        <v>0</v>
      </c>
      <c r="U205" s="181">
        <f>SUM(C205:T205)</f>
        <v>98500</v>
      </c>
    </row>
    <row r="206" spans="1:21" ht="21" customHeight="1">
      <c r="A206" s="758" t="s">
        <v>253</v>
      </c>
      <c r="B206" s="759"/>
      <c r="C206" s="185">
        <f>+C205+C96</f>
        <v>0</v>
      </c>
      <c r="D206" s="185">
        <f aca="true" t="shared" si="55" ref="D206:U206">+D205+D96</f>
        <v>0</v>
      </c>
      <c r="E206" s="185">
        <f t="shared" si="55"/>
        <v>0</v>
      </c>
      <c r="F206" s="185">
        <f t="shared" si="55"/>
        <v>0</v>
      </c>
      <c r="G206" s="185">
        <f t="shared" si="55"/>
        <v>0</v>
      </c>
      <c r="H206" s="185">
        <f t="shared" si="55"/>
        <v>0</v>
      </c>
      <c r="I206" s="185">
        <f t="shared" si="55"/>
        <v>0</v>
      </c>
      <c r="J206" s="185">
        <f t="shared" si="55"/>
        <v>0</v>
      </c>
      <c r="K206" s="185">
        <f t="shared" si="55"/>
        <v>98500</v>
      </c>
      <c r="L206" s="185">
        <f t="shared" si="55"/>
        <v>0</v>
      </c>
      <c r="M206" s="185">
        <f t="shared" si="55"/>
        <v>0</v>
      </c>
      <c r="N206" s="185">
        <f t="shared" si="55"/>
        <v>0</v>
      </c>
      <c r="O206" s="185">
        <f t="shared" si="55"/>
        <v>0</v>
      </c>
      <c r="P206" s="185">
        <f t="shared" si="55"/>
        <v>0</v>
      </c>
      <c r="Q206" s="185">
        <f t="shared" si="55"/>
        <v>0</v>
      </c>
      <c r="R206" s="185">
        <f t="shared" si="55"/>
        <v>0</v>
      </c>
      <c r="S206" s="185">
        <f t="shared" si="55"/>
        <v>0</v>
      </c>
      <c r="T206" s="185">
        <f t="shared" si="55"/>
        <v>0</v>
      </c>
      <c r="U206" s="185">
        <f t="shared" si="55"/>
        <v>98500</v>
      </c>
    </row>
    <row r="207" spans="1:21" ht="21" customHeight="1">
      <c r="A207" s="771" t="s">
        <v>300</v>
      </c>
      <c r="B207" s="772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434"/>
      <c r="N207" s="186"/>
      <c r="O207" s="186"/>
      <c r="P207" s="186"/>
      <c r="Q207" s="186"/>
      <c r="R207" s="186"/>
      <c r="S207" s="186"/>
      <c r="T207" s="186"/>
      <c r="U207" s="187">
        <f>SUM(C207:T207)</f>
        <v>0</v>
      </c>
    </row>
    <row r="208" spans="1:21" ht="21" customHeight="1">
      <c r="A208" s="179">
        <v>610100</v>
      </c>
      <c r="B208" s="188" t="s">
        <v>302</v>
      </c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431"/>
      <c r="N208" s="91"/>
      <c r="O208" s="91"/>
      <c r="P208" s="91"/>
      <c r="Q208" s="91"/>
      <c r="R208" s="91"/>
      <c r="S208" s="91"/>
      <c r="T208" s="91"/>
      <c r="U208" s="181">
        <f>SUM(C208:T208)</f>
        <v>0</v>
      </c>
    </row>
    <row r="209" spans="1:21" ht="21" customHeight="1">
      <c r="A209" s="179">
        <v>610200</v>
      </c>
      <c r="B209" s="180" t="s">
        <v>288</v>
      </c>
      <c r="C209" s="91"/>
      <c r="D209" s="91"/>
      <c r="E209" s="91"/>
      <c r="F209" s="91"/>
      <c r="G209" s="91">
        <f>591000+8000+10000+312000</f>
        <v>921000</v>
      </c>
      <c r="H209" s="91">
        <v>0</v>
      </c>
      <c r="I209" s="91"/>
      <c r="J209" s="91"/>
      <c r="K209" s="91"/>
      <c r="L209" s="91"/>
      <c r="M209" s="431"/>
      <c r="N209" s="91"/>
      <c r="O209" s="91"/>
      <c r="P209" s="91"/>
      <c r="Q209" s="91"/>
      <c r="R209" s="91"/>
      <c r="S209" s="91"/>
      <c r="T209" s="91"/>
      <c r="U209" s="181">
        <f>SUM(C209:T209)</f>
        <v>921000</v>
      </c>
    </row>
    <row r="210" spans="1:21" ht="21" customHeight="1">
      <c r="A210" s="182">
        <v>610400</v>
      </c>
      <c r="B210" s="183" t="s">
        <v>301</v>
      </c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432"/>
      <c r="N210" s="115"/>
      <c r="O210" s="115"/>
      <c r="P210" s="115"/>
      <c r="Q210" s="115"/>
      <c r="R210" s="115"/>
      <c r="S210" s="115"/>
      <c r="T210" s="115"/>
      <c r="U210" s="184">
        <f>SUM(C210:T210)</f>
        <v>0</v>
      </c>
    </row>
    <row r="211" spans="1:21" ht="21" customHeight="1">
      <c r="A211" s="756" t="s">
        <v>252</v>
      </c>
      <c r="B211" s="757"/>
      <c r="C211" s="181">
        <f aca="true" t="shared" si="56" ref="C211:O211">SUM(C208:C210)</f>
        <v>0</v>
      </c>
      <c r="D211" s="181">
        <f t="shared" si="56"/>
        <v>0</v>
      </c>
      <c r="E211" s="181">
        <f t="shared" si="56"/>
        <v>0</v>
      </c>
      <c r="F211" s="181">
        <f t="shared" si="56"/>
        <v>0</v>
      </c>
      <c r="G211" s="181">
        <f t="shared" si="56"/>
        <v>921000</v>
      </c>
      <c r="H211" s="181">
        <f t="shared" si="56"/>
        <v>0</v>
      </c>
      <c r="I211" s="181">
        <f t="shared" si="56"/>
        <v>0</v>
      </c>
      <c r="J211" s="181">
        <f t="shared" si="56"/>
        <v>0</v>
      </c>
      <c r="K211" s="181">
        <f t="shared" si="56"/>
        <v>0</v>
      </c>
      <c r="L211" s="181">
        <f t="shared" si="56"/>
        <v>0</v>
      </c>
      <c r="M211" s="433">
        <f t="shared" si="56"/>
        <v>0</v>
      </c>
      <c r="N211" s="181">
        <f t="shared" si="56"/>
        <v>0</v>
      </c>
      <c r="O211" s="181">
        <f t="shared" si="56"/>
        <v>0</v>
      </c>
      <c r="P211" s="181"/>
      <c r="Q211" s="181">
        <f>SUM(Q208:Q210)</f>
        <v>0</v>
      </c>
      <c r="R211" s="181">
        <f>SUM(R208:R210)</f>
        <v>0</v>
      </c>
      <c r="S211" s="181">
        <f>SUM(S208:S210)</f>
        <v>0</v>
      </c>
      <c r="T211" s="181">
        <f>SUM(T208:T210)</f>
        <v>0</v>
      </c>
      <c r="U211" s="181">
        <f>SUM(C211:T211)</f>
        <v>921000</v>
      </c>
    </row>
    <row r="212" spans="1:21" ht="21" customHeight="1">
      <c r="A212" s="758" t="s">
        <v>253</v>
      </c>
      <c r="B212" s="759"/>
      <c r="C212" s="185">
        <f>+C211+C102</f>
        <v>0</v>
      </c>
      <c r="D212" s="185">
        <f aca="true" t="shared" si="57" ref="D212:U212">+D211+D102</f>
        <v>0</v>
      </c>
      <c r="E212" s="185">
        <f t="shared" si="57"/>
        <v>0</v>
      </c>
      <c r="F212" s="185">
        <f t="shared" si="57"/>
        <v>0</v>
      </c>
      <c r="G212" s="185">
        <f t="shared" si="57"/>
        <v>921000</v>
      </c>
      <c r="H212" s="185">
        <f t="shared" si="57"/>
        <v>0</v>
      </c>
      <c r="I212" s="185">
        <f t="shared" si="57"/>
        <v>0</v>
      </c>
      <c r="J212" s="185">
        <f t="shared" si="57"/>
        <v>0</v>
      </c>
      <c r="K212" s="185">
        <f t="shared" si="57"/>
        <v>0</v>
      </c>
      <c r="L212" s="185">
        <f t="shared" si="57"/>
        <v>0</v>
      </c>
      <c r="M212" s="185">
        <f t="shared" si="57"/>
        <v>0</v>
      </c>
      <c r="N212" s="185">
        <f t="shared" si="57"/>
        <v>0</v>
      </c>
      <c r="O212" s="185">
        <f t="shared" si="57"/>
        <v>0</v>
      </c>
      <c r="P212" s="185">
        <f t="shared" si="57"/>
        <v>0</v>
      </c>
      <c r="Q212" s="185">
        <f t="shared" si="57"/>
        <v>0</v>
      </c>
      <c r="R212" s="185">
        <f t="shared" si="57"/>
        <v>0</v>
      </c>
      <c r="S212" s="185">
        <f t="shared" si="57"/>
        <v>0</v>
      </c>
      <c r="T212" s="185">
        <f t="shared" si="57"/>
        <v>0</v>
      </c>
      <c r="U212" s="185">
        <f t="shared" si="57"/>
        <v>921000</v>
      </c>
    </row>
    <row r="213" spans="1:21" ht="21" customHeight="1">
      <c r="A213" s="771" t="s">
        <v>304</v>
      </c>
      <c r="B213" s="772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434"/>
      <c r="N213" s="186"/>
      <c r="O213" s="186"/>
      <c r="P213" s="186"/>
      <c r="Q213" s="186"/>
      <c r="R213" s="186"/>
      <c r="S213" s="186"/>
      <c r="T213" s="186"/>
      <c r="U213" s="187">
        <f>SUM(C213:T213)</f>
        <v>0</v>
      </c>
    </row>
    <row r="214" spans="1:21" ht="21" customHeight="1">
      <c r="A214" s="179">
        <v>551000</v>
      </c>
      <c r="B214" s="180" t="s">
        <v>12</v>
      </c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431"/>
      <c r="N214" s="91"/>
      <c r="O214" s="91"/>
      <c r="P214" s="91"/>
      <c r="Q214" s="91"/>
      <c r="R214" s="91"/>
      <c r="S214" s="91"/>
      <c r="T214" s="91"/>
      <c r="U214" s="181">
        <f>SUM(C214:T214)</f>
        <v>0</v>
      </c>
    </row>
    <row r="215" spans="1:21" ht="21" customHeight="1">
      <c r="A215" s="182">
        <v>510100</v>
      </c>
      <c r="B215" s="183" t="s">
        <v>305</v>
      </c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432"/>
      <c r="N215" s="115"/>
      <c r="O215" s="115"/>
      <c r="P215" s="115"/>
      <c r="Q215" s="115"/>
      <c r="R215" s="115"/>
      <c r="S215" s="115"/>
      <c r="T215" s="115"/>
      <c r="U215" s="184">
        <f>SUM(C215:T215)</f>
        <v>0</v>
      </c>
    </row>
    <row r="216" spans="1:21" ht="21" customHeight="1">
      <c r="A216" s="756" t="s">
        <v>252</v>
      </c>
      <c r="B216" s="757"/>
      <c r="C216" s="181">
        <f>SUM(C214:C215)</f>
        <v>0</v>
      </c>
      <c r="D216" s="181">
        <f aca="true" t="shared" si="58" ref="D216:O216">SUM(D214:D215)</f>
        <v>0</v>
      </c>
      <c r="E216" s="181">
        <f t="shared" si="58"/>
        <v>0</v>
      </c>
      <c r="F216" s="181">
        <f t="shared" si="58"/>
        <v>0</v>
      </c>
      <c r="G216" s="181">
        <f t="shared" si="58"/>
        <v>0</v>
      </c>
      <c r="H216" s="181">
        <f t="shared" si="58"/>
        <v>0</v>
      </c>
      <c r="I216" s="181">
        <f t="shared" si="58"/>
        <v>0</v>
      </c>
      <c r="J216" s="181">
        <f t="shared" si="58"/>
        <v>0</v>
      </c>
      <c r="K216" s="181">
        <f t="shared" si="58"/>
        <v>0</v>
      </c>
      <c r="L216" s="181">
        <f t="shared" si="58"/>
        <v>0</v>
      </c>
      <c r="M216" s="433">
        <f t="shared" si="58"/>
        <v>0</v>
      </c>
      <c r="N216" s="181">
        <f t="shared" si="58"/>
        <v>0</v>
      </c>
      <c r="O216" s="181">
        <f t="shared" si="58"/>
        <v>0</v>
      </c>
      <c r="P216" s="181"/>
      <c r="Q216" s="181">
        <f>SUM(Q214:Q215)</f>
        <v>0</v>
      </c>
      <c r="R216" s="181">
        <f>SUM(R214:R215)</f>
        <v>0</v>
      </c>
      <c r="S216" s="181">
        <f>SUM(S214:S215)</f>
        <v>0</v>
      </c>
      <c r="T216" s="181">
        <f>SUM(T214:T215)</f>
        <v>0</v>
      </c>
      <c r="U216" s="181">
        <f>SUM(C216:T216)</f>
        <v>0</v>
      </c>
    </row>
    <row r="217" spans="1:21" ht="21" customHeight="1">
      <c r="A217" s="758" t="s">
        <v>253</v>
      </c>
      <c r="B217" s="759"/>
      <c r="C217" s="185">
        <f>+C216+C107</f>
        <v>0</v>
      </c>
      <c r="D217" s="185">
        <f aca="true" t="shared" si="59" ref="D217:U217">+D216+D107</f>
        <v>0</v>
      </c>
      <c r="E217" s="185">
        <f t="shared" si="59"/>
        <v>0</v>
      </c>
      <c r="F217" s="185">
        <f t="shared" si="59"/>
        <v>0</v>
      </c>
      <c r="G217" s="185">
        <f t="shared" si="59"/>
        <v>0</v>
      </c>
      <c r="H217" s="185">
        <f t="shared" si="59"/>
        <v>0</v>
      </c>
      <c r="I217" s="185">
        <f t="shared" si="59"/>
        <v>0</v>
      </c>
      <c r="J217" s="185">
        <f t="shared" si="59"/>
        <v>0</v>
      </c>
      <c r="K217" s="185">
        <f t="shared" si="59"/>
        <v>0</v>
      </c>
      <c r="L217" s="185">
        <f t="shared" si="59"/>
        <v>0</v>
      </c>
      <c r="M217" s="185">
        <f t="shared" si="59"/>
        <v>0</v>
      </c>
      <c r="N217" s="185">
        <f t="shared" si="59"/>
        <v>0</v>
      </c>
      <c r="O217" s="185">
        <f t="shared" si="59"/>
        <v>0</v>
      </c>
      <c r="P217" s="185">
        <f t="shared" si="59"/>
        <v>0</v>
      </c>
      <c r="Q217" s="185">
        <f t="shared" si="59"/>
        <v>0</v>
      </c>
      <c r="R217" s="185">
        <f t="shared" si="59"/>
        <v>0</v>
      </c>
      <c r="S217" s="185">
        <f t="shared" si="59"/>
        <v>0</v>
      </c>
      <c r="T217" s="185">
        <f t="shared" si="59"/>
        <v>0</v>
      </c>
      <c r="U217" s="185">
        <f t="shared" si="59"/>
        <v>0</v>
      </c>
    </row>
    <row r="218" spans="1:21" ht="21" customHeight="1">
      <c r="A218" s="760" t="s">
        <v>252</v>
      </c>
      <c r="B218" s="761"/>
      <c r="C218" s="56">
        <f aca="true" t="shared" si="60" ref="C218:T218">SUM(C124,C132,C144,C153,C160,C177,C184,C198,C205,C211,C216)</f>
        <v>801106.4</v>
      </c>
      <c r="D218" s="56">
        <f t="shared" si="60"/>
        <v>104965</v>
      </c>
      <c r="E218" s="56">
        <f t="shared" si="60"/>
        <v>0</v>
      </c>
      <c r="F218" s="56">
        <f t="shared" si="60"/>
        <v>900</v>
      </c>
      <c r="G218" s="56">
        <f t="shared" si="60"/>
        <v>1152600</v>
      </c>
      <c r="H218" s="56">
        <f t="shared" si="60"/>
        <v>47385</v>
      </c>
      <c r="I218" s="56">
        <f t="shared" si="60"/>
        <v>0</v>
      </c>
      <c r="J218" s="56">
        <f t="shared" si="60"/>
        <v>64055</v>
      </c>
      <c r="K218" s="56">
        <f t="shared" si="60"/>
        <v>98500</v>
      </c>
      <c r="L218" s="56">
        <f t="shared" si="60"/>
        <v>66857.5</v>
      </c>
      <c r="M218" s="435">
        <f t="shared" si="60"/>
        <v>4030</v>
      </c>
      <c r="N218" s="56">
        <f t="shared" si="60"/>
        <v>0</v>
      </c>
      <c r="O218" s="56">
        <f t="shared" si="60"/>
        <v>9940</v>
      </c>
      <c r="P218" s="56">
        <f t="shared" si="60"/>
        <v>0</v>
      </c>
      <c r="Q218" s="56">
        <f t="shared" si="60"/>
        <v>0</v>
      </c>
      <c r="R218" s="56">
        <f t="shared" si="60"/>
        <v>0</v>
      </c>
      <c r="S218" s="56">
        <f t="shared" si="60"/>
        <v>32300.09</v>
      </c>
      <c r="T218" s="56">
        <f t="shared" si="60"/>
        <v>193497</v>
      </c>
      <c r="U218" s="56">
        <f>SUM(C218:T218)</f>
        <v>2576135.9899999998</v>
      </c>
    </row>
    <row r="219" spans="1:21" ht="21" customHeight="1">
      <c r="A219" s="760" t="s">
        <v>253</v>
      </c>
      <c r="B219" s="761"/>
      <c r="C219" s="56">
        <f aca="true" t="shared" si="61" ref="C219:R219">SUM(C125,C133,C145,C154,C161,C178,C185,C199,C206,C212,C217)</f>
        <v>1408870.52</v>
      </c>
      <c r="D219" s="56">
        <f t="shared" si="61"/>
        <v>228325</v>
      </c>
      <c r="E219" s="56">
        <f t="shared" si="61"/>
        <v>0</v>
      </c>
      <c r="F219" s="56">
        <f t="shared" si="61"/>
        <v>1800</v>
      </c>
      <c r="G219" s="56">
        <f t="shared" si="61"/>
        <v>1152600</v>
      </c>
      <c r="H219" s="56">
        <f t="shared" si="61"/>
        <v>47385</v>
      </c>
      <c r="I219" s="56">
        <f t="shared" si="61"/>
        <v>0</v>
      </c>
      <c r="J219" s="56">
        <f t="shared" si="61"/>
        <v>127560</v>
      </c>
      <c r="K219" s="56">
        <f t="shared" si="61"/>
        <v>98500</v>
      </c>
      <c r="L219" s="56">
        <f t="shared" si="61"/>
        <v>80167.5</v>
      </c>
      <c r="M219" s="435">
        <f t="shared" si="61"/>
        <v>4030</v>
      </c>
      <c r="N219" s="56">
        <f t="shared" si="61"/>
        <v>0</v>
      </c>
      <c r="O219" s="56">
        <f t="shared" si="61"/>
        <v>9940</v>
      </c>
      <c r="P219" s="56">
        <f t="shared" si="61"/>
        <v>0</v>
      </c>
      <c r="Q219" s="56">
        <f t="shared" si="61"/>
        <v>0</v>
      </c>
      <c r="R219" s="56">
        <f t="shared" si="61"/>
        <v>0</v>
      </c>
      <c r="S219" s="56">
        <f>SUM(S125,S133,S145,S154,S161,S178,S185,S199,S206,S212,S217)</f>
        <v>79875.38</v>
      </c>
      <c r="T219" s="56">
        <f>SUM(T125,T133,T145,T154,T161,T178,T185,T199,T206,T212,T217)</f>
        <v>200997</v>
      </c>
      <c r="U219" s="56">
        <f>SUM(C219:T219)</f>
        <v>3440050.4</v>
      </c>
    </row>
    <row r="220" spans="1:21" ht="21" customHeight="1">
      <c r="A220" s="763" t="s">
        <v>621</v>
      </c>
      <c r="B220" s="763"/>
      <c r="C220" s="763"/>
      <c r="D220" s="763"/>
      <c r="E220" s="763"/>
      <c r="F220" s="763"/>
      <c r="G220" s="763"/>
      <c r="H220" s="763"/>
      <c r="I220" s="763"/>
      <c r="J220" s="763"/>
      <c r="K220" s="763"/>
      <c r="L220" s="763"/>
      <c r="M220" s="762" t="str">
        <f>+A220</f>
        <v>เทศบาลตำบลเขาพระ อำเภอพิปูน จังหวัดนครศรีธรรมราช</v>
      </c>
      <c r="N220" s="762"/>
      <c r="O220" s="762"/>
      <c r="P220" s="762"/>
      <c r="Q220" s="762"/>
      <c r="R220" s="762"/>
      <c r="S220" s="762"/>
      <c r="T220" s="762"/>
      <c r="U220" s="762"/>
    </row>
    <row r="221" spans="1:21" ht="21" customHeight="1">
      <c r="A221" s="763" t="s">
        <v>215</v>
      </c>
      <c r="B221" s="763"/>
      <c r="C221" s="763"/>
      <c r="D221" s="763"/>
      <c r="E221" s="763"/>
      <c r="F221" s="763"/>
      <c r="G221" s="763"/>
      <c r="H221" s="763"/>
      <c r="I221" s="763"/>
      <c r="J221" s="763"/>
      <c r="K221" s="763"/>
      <c r="L221" s="763"/>
      <c r="M221" s="763" t="s">
        <v>215</v>
      </c>
      <c r="N221" s="763"/>
      <c r="O221" s="763"/>
      <c r="P221" s="763"/>
      <c r="Q221" s="763"/>
      <c r="R221" s="763"/>
      <c r="S221" s="763"/>
      <c r="T221" s="763"/>
      <c r="U221" s="763"/>
    </row>
    <row r="222" spans="1:21" ht="21" customHeight="1">
      <c r="A222" s="764" t="s">
        <v>638</v>
      </c>
      <c r="B222" s="764"/>
      <c r="C222" s="764"/>
      <c r="D222" s="764"/>
      <c r="E222" s="764"/>
      <c r="F222" s="764"/>
      <c r="G222" s="764"/>
      <c r="H222" s="764"/>
      <c r="I222" s="764"/>
      <c r="J222" s="764"/>
      <c r="K222" s="764"/>
      <c r="L222" s="764"/>
      <c r="M222" s="764" t="s">
        <v>639</v>
      </c>
      <c r="N222" s="764"/>
      <c r="O222" s="764"/>
      <c r="P222" s="764"/>
      <c r="Q222" s="764"/>
      <c r="R222" s="764"/>
      <c r="S222" s="764"/>
      <c r="T222" s="764"/>
      <c r="U222" s="764"/>
    </row>
    <row r="223" spans="1:21" ht="21" customHeight="1">
      <c r="A223" s="769" t="s">
        <v>216</v>
      </c>
      <c r="B223" s="769"/>
      <c r="C223" s="768" t="s">
        <v>218</v>
      </c>
      <c r="D223" s="768"/>
      <c r="E223" s="485" t="s">
        <v>221</v>
      </c>
      <c r="F223" s="768" t="s">
        <v>223</v>
      </c>
      <c r="G223" s="769"/>
      <c r="H223" s="485" t="s">
        <v>237</v>
      </c>
      <c r="I223" s="485" t="s">
        <v>238</v>
      </c>
      <c r="J223" s="765" t="s">
        <v>239</v>
      </c>
      <c r="K223" s="766"/>
      <c r="L223" s="767"/>
      <c r="M223" s="486" t="s">
        <v>240</v>
      </c>
      <c r="N223" s="765" t="s">
        <v>241</v>
      </c>
      <c r="O223" s="766"/>
      <c r="P223" s="767"/>
      <c r="Q223" s="768" t="s">
        <v>242</v>
      </c>
      <c r="R223" s="769"/>
      <c r="S223" s="485" t="s">
        <v>306</v>
      </c>
      <c r="T223" s="485" t="s">
        <v>243</v>
      </c>
      <c r="U223" s="770" t="s">
        <v>17</v>
      </c>
    </row>
    <row r="224" spans="1:21" ht="21" customHeight="1">
      <c r="A224" s="769" t="s">
        <v>217</v>
      </c>
      <c r="B224" s="769"/>
      <c r="C224" s="485" t="s">
        <v>219</v>
      </c>
      <c r="D224" s="485" t="s">
        <v>220</v>
      </c>
      <c r="E224" s="485" t="s">
        <v>312</v>
      </c>
      <c r="F224" s="485" t="s">
        <v>224</v>
      </c>
      <c r="G224" s="485" t="s">
        <v>225</v>
      </c>
      <c r="H224" s="485" t="s">
        <v>227</v>
      </c>
      <c r="I224" s="485" t="s">
        <v>228</v>
      </c>
      <c r="J224" s="485" t="s">
        <v>229</v>
      </c>
      <c r="K224" s="485" t="s">
        <v>230</v>
      </c>
      <c r="L224" s="485" t="s">
        <v>431</v>
      </c>
      <c r="M224" s="486" t="s">
        <v>231</v>
      </c>
      <c r="N224" s="485" t="s">
        <v>232</v>
      </c>
      <c r="O224" s="485" t="s">
        <v>233</v>
      </c>
      <c r="P224" s="485" t="s">
        <v>314</v>
      </c>
      <c r="Q224" s="485" t="s">
        <v>234</v>
      </c>
      <c r="R224" s="485" t="s">
        <v>235</v>
      </c>
      <c r="S224" s="485" t="s">
        <v>307</v>
      </c>
      <c r="T224" s="485" t="s">
        <v>236</v>
      </c>
      <c r="U224" s="770"/>
    </row>
    <row r="225" spans="1:21" ht="21" customHeight="1">
      <c r="A225" s="771" t="s">
        <v>290</v>
      </c>
      <c r="B225" s="772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430"/>
      <c r="N225" s="178"/>
      <c r="O225" s="178"/>
      <c r="P225" s="178"/>
      <c r="Q225" s="178"/>
      <c r="R225" s="178"/>
      <c r="S225" s="178"/>
      <c r="T225" s="178"/>
      <c r="U225" s="178"/>
    </row>
    <row r="226" spans="1:21" ht="21" customHeight="1">
      <c r="A226" s="179">
        <v>110300</v>
      </c>
      <c r="B226" s="180" t="s">
        <v>244</v>
      </c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431"/>
      <c r="N226" s="91"/>
      <c r="O226" s="91"/>
      <c r="P226" s="91"/>
      <c r="Q226" s="91"/>
      <c r="R226" s="91"/>
      <c r="S226" s="91"/>
      <c r="T226" s="91">
        <f>1512+13440</f>
        <v>14952</v>
      </c>
      <c r="U226" s="181">
        <f>SUM(C226:T226)</f>
        <v>14952</v>
      </c>
    </row>
    <row r="227" spans="1:21" ht="21" customHeight="1">
      <c r="A227" s="179">
        <v>110700</v>
      </c>
      <c r="B227" s="180" t="s">
        <v>127</v>
      </c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431"/>
      <c r="N227" s="91"/>
      <c r="O227" s="91"/>
      <c r="P227" s="91"/>
      <c r="Q227" s="91"/>
      <c r="R227" s="91"/>
      <c r="S227" s="91"/>
      <c r="T227" s="91"/>
      <c r="U227" s="181">
        <f aca="true" t="shared" si="62" ref="U227:U232">SUM(C227:T227)</f>
        <v>0</v>
      </c>
    </row>
    <row r="228" spans="1:21" ht="21" customHeight="1">
      <c r="A228" s="179">
        <v>110800</v>
      </c>
      <c r="B228" s="180" t="s">
        <v>133</v>
      </c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431"/>
      <c r="N228" s="91"/>
      <c r="O228" s="91"/>
      <c r="P228" s="91"/>
      <c r="Q228" s="91"/>
      <c r="R228" s="91"/>
      <c r="S228" s="91"/>
      <c r="T228" s="91"/>
      <c r="U228" s="181">
        <f t="shared" si="62"/>
        <v>0</v>
      </c>
    </row>
    <row r="229" spans="1:21" ht="21" customHeight="1">
      <c r="A229" s="179">
        <v>110900</v>
      </c>
      <c r="B229" s="180" t="s">
        <v>134</v>
      </c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431"/>
      <c r="N229" s="91"/>
      <c r="O229" s="91"/>
      <c r="P229" s="91"/>
      <c r="Q229" s="91"/>
      <c r="R229" s="91"/>
      <c r="S229" s="91"/>
      <c r="T229" s="91">
        <v>7500</v>
      </c>
      <c r="U229" s="181">
        <f t="shared" si="62"/>
        <v>7500</v>
      </c>
    </row>
    <row r="230" spans="1:21" ht="21" customHeight="1">
      <c r="A230" s="179">
        <v>111000</v>
      </c>
      <c r="B230" s="180" t="s">
        <v>135</v>
      </c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431"/>
      <c r="N230" s="91"/>
      <c r="O230" s="91"/>
      <c r="P230" s="91"/>
      <c r="Q230" s="91"/>
      <c r="R230" s="91"/>
      <c r="S230" s="91"/>
      <c r="T230" s="91">
        <v>61865</v>
      </c>
      <c r="U230" s="181">
        <f t="shared" si="62"/>
        <v>61865</v>
      </c>
    </row>
    <row r="231" spans="1:21" ht="21" customHeight="1">
      <c r="A231" s="179">
        <v>111100</v>
      </c>
      <c r="B231" s="180" t="s">
        <v>246</v>
      </c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431"/>
      <c r="N231" s="91"/>
      <c r="O231" s="91"/>
      <c r="P231" s="91"/>
      <c r="Q231" s="91"/>
      <c r="R231" s="91"/>
      <c r="S231" s="91"/>
      <c r="T231" s="91"/>
      <c r="U231" s="181">
        <f t="shared" si="62"/>
        <v>0</v>
      </c>
    </row>
    <row r="232" spans="1:21" ht="21" customHeight="1">
      <c r="A232" s="179">
        <v>111200</v>
      </c>
      <c r="B232" s="180" t="s">
        <v>528</v>
      </c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431"/>
      <c r="N232" s="91"/>
      <c r="O232" s="91"/>
      <c r="P232" s="91"/>
      <c r="Q232" s="91"/>
      <c r="R232" s="91"/>
      <c r="S232" s="91"/>
      <c r="T232" s="91"/>
      <c r="U232" s="181">
        <f t="shared" si="62"/>
        <v>0</v>
      </c>
    </row>
    <row r="233" spans="1:21" ht="21" customHeight="1">
      <c r="A233" s="182">
        <v>120100</v>
      </c>
      <c r="B233" s="183" t="s">
        <v>245</v>
      </c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432"/>
      <c r="N233" s="115"/>
      <c r="O233" s="115"/>
      <c r="P233" s="115"/>
      <c r="Q233" s="115"/>
      <c r="R233" s="115"/>
      <c r="S233" s="115"/>
      <c r="T233" s="115">
        <v>274673.61</v>
      </c>
      <c r="U233" s="184">
        <f>SUM(C233:T233)</f>
        <v>274673.61</v>
      </c>
    </row>
    <row r="234" spans="1:21" ht="21" customHeight="1">
      <c r="A234" s="756" t="s">
        <v>252</v>
      </c>
      <c r="B234" s="757"/>
      <c r="C234" s="181">
        <f>SUM(C226:C233)</f>
        <v>0</v>
      </c>
      <c r="D234" s="181">
        <f aca="true" t="shared" si="63" ref="D234:J234">SUM(D226:D233)</f>
        <v>0</v>
      </c>
      <c r="E234" s="181">
        <f t="shared" si="63"/>
        <v>0</v>
      </c>
      <c r="F234" s="181">
        <f t="shared" si="63"/>
        <v>0</v>
      </c>
      <c r="G234" s="181">
        <f t="shared" si="63"/>
        <v>0</v>
      </c>
      <c r="H234" s="181">
        <f t="shared" si="63"/>
        <v>0</v>
      </c>
      <c r="I234" s="181">
        <f t="shared" si="63"/>
        <v>0</v>
      </c>
      <c r="J234" s="181">
        <f t="shared" si="63"/>
        <v>0</v>
      </c>
      <c r="K234" s="181">
        <f>SUM(K226:K233)</f>
        <v>0</v>
      </c>
      <c r="L234" s="181">
        <f>SUM(L226:L233)</f>
        <v>0</v>
      </c>
      <c r="M234" s="433">
        <f>SUM(M226:M233)</f>
        <v>0</v>
      </c>
      <c r="N234" s="181">
        <f>SUM(N226:N233)</f>
        <v>0</v>
      </c>
      <c r="O234" s="181">
        <f>SUM(O226:O233)</f>
        <v>0</v>
      </c>
      <c r="P234" s="181"/>
      <c r="Q234" s="181">
        <f>SUM(Q226:Q233)</f>
        <v>0</v>
      </c>
      <c r="R234" s="181">
        <f>SUM(R226:R233)</f>
        <v>0</v>
      </c>
      <c r="S234" s="181">
        <f>SUM(S226:S233)</f>
        <v>0</v>
      </c>
      <c r="T234" s="181">
        <f>SUM(T226:T233)</f>
        <v>358990.61</v>
      </c>
      <c r="U234" s="181">
        <f>SUM(C234:T234)</f>
        <v>358990.61</v>
      </c>
    </row>
    <row r="235" spans="1:21" ht="21" customHeight="1">
      <c r="A235" s="758" t="s">
        <v>253</v>
      </c>
      <c r="B235" s="759"/>
      <c r="C235" s="185">
        <f>+C234+C125</f>
        <v>0</v>
      </c>
      <c r="D235" s="185">
        <f aca="true" t="shared" si="64" ref="D235:U235">+D234+D125</f>
        <v>0</v>
      </c>
      <c r="E235" s="185">
        <f t="shared" si="64"/>
        <v>0</v>
      </c>
      <c r="F235" s="185">
        <f t="shared" si="64"/>
        <v>0</v>
      </c>
      <c r="G235" s="185">
        <f t="shared" si="64"/>
        <v>0</v>
      </c>
      <c r="H235" s="185">
        <f t="shared" si="64"/>
        <v>0</v>
      </c>
      <c r="I235" s="185">
        <f t="shared" si="64"/>
        <v>0</v>
      </c>
      <c r="J235" s="185">
        <f t="shared" si="64"/>
        <v>0</v>
      </c>
      <c r="K235" s="185">
        <f t="shared" si="64"/>
        <v>0</v>
      </c>
      <c r="L235" s="185">
        <f t="shared" si="64"/>
        <v>0</v>
      </c>
      <c r="M235" s="185">
        <f t="shared" si="64"/>
        <v>0</v>
      </c>
      <c r="N235" s="185">
        <f t="shared" si="64"/>
        <v>0</v>
      </c>
      <c r="O235" s="185">
        <f t="shared" si="64"/>
        <v>0</v>
      </c>
      <c r="P235" s="185">
        <f t="shared" si="64"/>
        <v>0</v>
      </c>
      <c r="Q235" s="185">
        <f t="shared" si="64"/>
        <v>0</v>
      </c>
      <c r="R235" s="185">
        <f t="shared" si="64"/>
        <v>0</v>
      </c>
      <c r="S235" s="185">
        <f t="shared" si="64"/>
        <v>0</v>
      </c>
      <c r="T235" s="185">
        <f t="shared" si="64"/>
        <v>559987.61</v>
      </c>
      <c r="U235" s="185">
        <f t="shared" si="64"/>
        <v>559987.61</v>
      </c>
    </row>
    <row r="236" spans="1:21" ht="21" customHeight="1">
      <c r="A236" s="771" t="s">
        <v>291</v>
      </c>
      <c r="B236" s="772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434"/>
      <c r="N236" s="186"/>
      <c r="O236" s="186"/>
      <c r="P236" s="186"/>
      <c r="Q236" s="186"/>
      <c r="R236" s="186"/>
      <c r="S236" s="186"/>
      <c r="T236" s="186"/>
      <c r="U236" s="187">
        <f aca="true" t="shared" si="65" ref="U236:U241">SUM(C236:T236)</f>
        <v>0</v>
      </c>
    </row>
    <row r="237" spans="1:21" ht="21" customHeight="1">
      <c r="A237" s="179">
        <v>210100</v>
      </c>
      <c r="B237" s="83" t="s">
        <v>247</v>
      </c>
      <c r="C237" s="91">
        <v>57960</v>
      </c>
      <c r="D237" s="91"/>
      <c r="E237" s="91"/>
      <c r="F237" s="91"/>
      <c r="G237" s="91"/>
      <c r="H237" s="91"/>
      <c r="I237" s="91"/>
      <c r="J237" s="91"/>
      <c r="K237" s="91"/>
      <c r="L237" s="91"/>
      <c r="M237" s="431"/>
      <c r="N237" s="91"/>
      <c r="O237" s="91"/>
      <c r="P237" s="91"/>
      <c r="Q237" s="91"/>
      <c r="R237" s="91"/>
      <c r="S237" s="91"/>
      <c r="T237" s="91"/>
      <c r="U237" s="181">
        <f t="shared" si="65"/>
        <v>57960</v>
      </c>
    </row>
    <row r="238" spans="1:21" ht="21" customHeight="1">
      <c r="A238" s="179">
        <v>210200</v>
      </c>
      <c r="B238" s="83" t="s">
        <v>251</v>
      </c>
      <c r="C238" s="91">
        <v>10000</v>
      </c>
      <c r="D238" s="91"/>
      <c r="E238" s="91"/>
      <c r="F238" s="91"/>
      <c r="G238" s="91"/>
      <c r="H238" s="91"/>
      <c r="I238" s="91"/>
      <c r="J238" s="91"/>
      <c r="K238" s="91"/>
      <c r="L238" s="91"/>
      <c r="M238" s="431"/>
      <c r="N238" s="91"/>
      <c r="O238" s="91"/>
      <c r="P238" s="91"/>
      <c r="Q238" s="91"/>
      <c r="R238" s="91"/>
      <c r="S238" s="91"/>
      <c r="T238" s="91"/>
      <c r="U238" s="181">
        <f t="shared" si="65"/>
        <v>10000</v>
      </c>
    </row>
    <row r="239" spans="1:21" ht="21" customHeight="1">
      <c r="A239" s="179">
        <v>210300</v>
      </c>
      <c r="B239" s="83" t="s">
        <v>248</v>
      </c>
      <c r="C239" s="91">
        <v>10000</v>
      </c>
      <c r="D239" s="91"/>
      <c r="E239" s="91"/>
      <c r="F239" s="91"/>
      <c r="G239" s="91"/>
      <c r="H239" s="91"/>
      <c r="I239" s="91"/>
      <c r="J239" s="91"/>
      <c r="K239" s="91"/>
      <c r="L239" s="91"/>
      <c r="M239" s="431"/>
      <c r="N239" s="91"/>
      <c r="O239" s="91"/>
      <c r="P239" s="91"/>
      <c r="Q239" s="91"/>
      <c r="R239" s="91"/>
      <c r="S239" s="91"/>
      <c r="T239" s="91"/>
      <c r="U239" s="181">
        <f t="shared" si="65"/>
        <v>10000</v>
      </c>
    </row>
    <row r="240" spans="1:21" ht="21" customHeight="1">
      <c r="A240" s="179">
        <v>210400</v>
      </c>
      <c r="B240" s="83" t="s">
        <v>249</v>
      </c>
      <c r="C240" s="91">
        <v>16560</v>
      </c>
      <c r="D240" s="91"/>
      <c r="E240" s="91"/>
      <c r="F240" s="91"/>
      <c r="G240" s="91"/>
      <c r="H240" s="91"/>
      <c r="I240" s="91"/>
      <c r="J240" s="91"/>
      <c r="K240" s="91"/>
      <c r="L240" s="91"/>
      <c r="M240" s="431"/>
      <c r="N240" s="91"/>
      <c r="O240" s="91"/>
      <c r="P240" s="91"/>
      <c r="Q240" s="91"/>
      <c r="R240" s="91"/>
      <c r="S240" s="91"/>
      <c r="T240" s="91"/>
      <c r="U240" s="181">
        <f t="shared" si="65"/>
        <v>16560</v>
      </c>
    </row>
    <row r="241" spans="1:21" ht="21" customHeight="1">
      <c r="A241" s="182">
        <v>210600</v>
      </c>
      <c r="B241" s="84" t="s">
        <v>250</v>
      </c>
      <c r="C241" s="91">
        <f>124200+9338</f>
        <v>133538</v>
      </c>
      <c r="D241" s="115"/>
      <c r="E241" s="115"/>
      <c r="F241" s="115"/>
      <c r="G241" s="115"/>
      <c r="H241" s="115"/>
      <c r="I241" s="115"/>
      <c r="J241" s="115"/>
      <c r="K241" s="115"/>
      <c r="L241" s="115"/>
      <c r="M241" s="432"/>
      <c r="N241" s="115"/>
      <c r="O241" s="115"/>
      <c r="P241" s="115"/>
      <c r="Q241" s="115"/>
      <c r="R241" s="115"/>
      <c r="S241" s="115"/>
      <c r="T241" s="115"/>
      <c r="U241" s="184">
        <f t="shared" si="65"/>
        <v>133538</v>
      </c>
    </row>
    <row r="242" spans="1:21" ht="21" customHeight="1">
      <c r="A242" s="756" t="s">
        <v>252</v>
      </c>
      <c r="B242" s="757"/>
      <c r="C242" s="181">
        <f>SUM(C237:C241)</f>
        <v>228058</v>
      </c>
      <c r="D242" s="181">
        <f>SUM(D236:D241)</f>
        <v>0</v>
      </c>
      <c r="E242" s="181">
        <f aca="true" t="shared" si="66" ref="E242:J242">SUM(E236:E241)</f>
        <v>0</v>
      </c>
      <c r="F242" s="181">
        <f t="shared" si="66"/>
        <v>0</v>
      </c>
      <c r="G242" s="181">
        <f t="shared" si="66"/>
        <v>0</v>
      </c>
      <c r="H242" s="181">
        <f t="shared" si="66"/>
        <v>0</v>
      </c>
      <c r="I242" s="181">
        <f t="shared" si="66"/>
        <v>0</v>
      </c>
      <c r="J242" s="181">
        <f t="shared" si="66"/>
        <v>0</v>
      </c>
      <c r="K242" s="181">
        <f>SUM(K236:K241)</f>
        <v>0</v>
      </c>
      <c r="L242" s="181">
        <f>SUM(L236:L241)</f>
        <v>0</v>
      </c>
      <c r="M242" s="433">
        <f>SUM(M236:M241)</f>
        <v>0</v>
      </c>
      <c r="N242" s="181">
        <f>SUM(N236:N241)</f>
        <v>0</v>
      </c>
      <c r="O242" s="181">
        <f>SUM(O236:O241)</f>
        <v>0</v>
      </c>
      <c r="P242" s="181"/>
      <c r="Q242" s="181">
        <f>SUM(Q236:Q241)</f>
        <v>0</v>
      </c>
      <c r="R242" s="181">
        <f>SUM(R236:R241)</f>
        <v>0</v>
      </c>
      <c r="S242" s="181">
        <f>SUM(S236:S241)</f>
        <v>0</v>
      </c>
      <c r="T242" s="181">
        <f>SUM(T236:T241)</f>
        <v>0</v>
      </c>
      <c r="U242" s="181">
        <f>SUM(C242:T242)</f>
        <v>228058</v>
      </c>
    </row>
    <row r="243" spans="1:21" ht="21" customHeight="1">
      <c r="A243" s="758" t="s">
        <v>253</v>
      </c>
      <c r="B243" s="759"/>
      <c r="C243" s="181">
        <f>+C242+C133</f>
        <v>646178</v>
      </c>
      <c r="D243" s="181">
        <f aca="true" t="shared" si="67" ref="D243:U243">+D242+D133</f>
        <v>0</v>
      </c>
      <c r="E243" s="181">
        <f t="shared" si="67"/>
        <v>0</v>
      </c>
      <c r="F243" s="181">
        <f t="shared" si="67"/>
        <v>0</v>
      </c>
      <c r="G243" s="181">
        <f t="shared" si="67"/>
        <v>0</v>
      </c>
      <c r="H243" s="181">
        <f t="shared" si="67"/>
        <v>0</v>
      </c>
      <c r="I243" s="181">
        <f t="shared" si="67"/>
        <v>0</v>
      </c>
      <c r="J243" s="181">
        <f t="shared" si="67"/>
        <v>0</v>
      </c>
      <c r="K243" s="181">
        <f t="shared" si="67"/>
        <v>0</v>
      </c>
      <c r="L243" s="181">
        <f t="shared" si="67"/>
        <v>0</v>
      </c>
      <c r="M243" s="181">
        <f t="shared" si="67"/>
        <v>0</v>
      </c>
      <c r="N243" s="181">
        <f t="shared" si="67"/>
        <v>0</v>
      </c>
      <c r="O243" s="181">
        <f t="shared" si="67"/>
        <v>0</v>
      </c>
      <c r="P243" s="181">
        <f t="shared" si="67"/>
        <v>0</v>
      </c>
      <c r="Q243" s="181">
        <f t="shared" si="67"/>
        <v>0</v>
      </c>
      <c r="R243" s="181">
        <f t="shared" si="67"/>
        <v>0</v>
      </c>
      <c r="S243" s="181">
        <f t="shared" si="67"/>
        <v>0</v>
      </c>
      <c r="T243" s="181">
        <f t="shared" si="67"/>
        <v>0</v>
      </c>
      <c r="U243" s="181">
        <f t="shared" si="67"/>
        <v>646178</v>
      </c>
    </row>
    <row r="244" spans="1:21" ht="21" customHeight="1">
      <c r="A244" s="771" t="s">
        <v>292</v>
      </c>
      <c r="B244" s="772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434"/>
      <c r="N244" s="186"/>
      <c r="O244" s="186"/>
      <c r="P244" s="186"/>
      <c r="Q244" s="186"/>
      <c r="R244" s="186"/>
      <c r="S244" s="186"/>
      <c r="T244" s="186"/>
      <c r="U244" s="187">
        <f aca="true" t="shared" si="68" ref="U244:U249">SUM(C244:T244)</f>
        <v>0</v>
      </c>
    </row>
    <row r="245" spans="1:21" ht="21" customHeight="1">
      <c r="A245" s="179">
        <v>220100</v>
      </c>
      <c r="B245" s="83" t="s">
        <v>254</v>
      </c>
      <c r="C245" s="91">
        <v>163660</v>
      </c>
      <c r="D245" s="91">
        <v>41020</v>
      </c>
      <c r="E245" s="91"/>
      <c r="F245" s="91"/>
      <c r="G245" s="91"/>
      <c r="H245" s="91"/>
      <c r="I245" s="91"/>
      <c r="J245" s="91">
        <v>30920</v>
      </c>
      <c r="K245" s="91"/>
      <c r="L245" s="91"/>
      <c r="M245" s="431"/>
      <c r="N245" s="91"/>
      <c r="O245" s="91"/>
      <c r="P245" s="91"/>
      <c r="Q245" s="91"/>
      <c r="R245" s="91"/>
      <c r="S245" s="91"/>
      <c r="T245" s="91"/>
      <c r="U245" s="181">
        <f t="shared" si="68"/>
        <v>235600</v>
      </c>
    </row>
    <row r="246" spans="1:21" ht="21" customHeight="1">
      <c r="A246" s="179">
        <v>220200</v>
      </c>
      <c r="B246" s="83" t="s">
        <v>255</v>
      </c>
      <c r="C246" s="91">
        <v>10900</v>
      </c>
      <c r="D246" s="91">
        <v>9930</v>
      </c>
      <c r="E246" s="91"/>
      <c r="F246" s="91"/>
      <c r="G246" s="91"/>
      <c r="H246" s="91"/>
      <c r="I246" s="91"/>
      <c r="J246" s="91">
        <v>3985</v>
      </c>
      <c r="K246" s="91"/>
      <c r="L246" s="91"/>
      <c r="M246" s="431"/>
      <c r="N246" s="91"/>
      <c r="O246" s="91"/>
      <c r="P246" s="91"/>
      <c r="Q246" s="91"/>
      <c r="R246" s="91"/>
      <c r="S246" s="91"/>
      <c r="T246" s="91"/>
      <c r="U246" s="181">
        <f t="shared" si="68"/>
        <v>24815</v>
      </c>
    </row>
    <row r="247" spans="1:21" ht="21" customHeight="1">
      <c r="A247" s="179">
        <v>220300</v>
      </c>
      <c r="B247" s="83" t="s">
        <v>256</v>
      </c>
      <c r="C247" s="91">
        <v>10500</v>
      </c>
      <c r="D247" s="91"/>
      <c r="E247" s="91"/>
      <c r="F247" s="91"/>
      <c r="G247" s="91"/>
      <c r="H247" s="91"/>
      <c r="I247" s="91"/>
      <c r="J247" s="91"/>
      <c r="K247" s="91"/>
      <c r="L247" s="91"/>
      <c r="M247" s="431"/>
      <c r="N247" s="91"/>
      <c r="O247" s="91"/>
      <c r="P247" s="91"/>
      <c r="Q247" s="91"/>
      <c r="R247" s="91"/>
      <c r="S247" s="91"/>
      <c r="T247" s="91"/>
      <c r="U247" s="181">
        <f t="shared" si="68"/>
        <v>10500</v>
      </c>
    </row>
    <row r="248" spans="1:21" ht="21" customHeight="1">
      <c r="A248" s="179">
        <v>220400</v>
      </c>
      <c r="B248" s="83" t="s">
        <v>3</v>
      </c>
      <c r="C248" s="91"/>
      <c r="D248" s="91">
        <v>23730</v>
      </c>
      <c r="E248" s="91"/>
      <c r="F248" s="91"/>
      <c r="G248" s="91"/>
      <c r="H248" s="91"/>
      <c r="I248" s="91"/>
      <c r="J248" s="91"/>
      <c r="K248" s="91"/>
      <c r="L248" s="91"/>
      <c r="M248" s="431"/>
      <c r="N248" s="91"/>
      <c r="O248" s="91"/>
      <c r="P248" s="91"/>
      <c r="Q248" s="91"/>
      <c r="R248" s="91"/>
      <c r="S248" s="91"/>
      <c r="T248" s="91"/>
      <c r="U248" s="181">
        <f t="shared" si="68"/>
        <v>23730</v>
      </c>
    </row>
    <row r="249" spans="1:21" ht="21" customHeight="1">
      <c r="A249" s="179">
        <v>220500</v>
      </c>
      <c r="B249" s="83" t="s">
        <v>257</v>
      </c>
      <c r="C249" s="91"/>
      <c r="D249" s="91">
        <v>3555</v>
      </c>
      <c r="E249" s="91"/>
      <c r="F249" s="91"/>
      <c r="G249" s="91"/>
      <c r="H249" s="91"/>
      <c r="I249" s="91"/>
      <c r="J249" s="91"/>
      <c r="K249" s="91"/>
      <c r="L249" s="91"/>
      <c r="M249" s="431"/>
      <c r="N249" s="91"/>
      <c r="O249" s="91"/>
      <c r="P249" s="91"/>
      <c r="Q249" s="91"/>
      <c r="R249" s="91"/>
      <c r="S249" s="91"/>
      <c r="T249" s="91"/>
      <c r="U249" s="181">
        <f t="shared" si="68"/>
        <v>3555</v>
      </c>
    </row>
    <row r="250" spans="1:21" ht="21" customHeight="1">
      <c r="A250" s="769" t="s">
        <v>216</v>
      </c>
      <c r="B250" s="769"/>
      <c r="C250" s="768" t="s">
        <v>218</v>
      </c>
      <c r="D250" s="768"/>
      <c r="E250" s="485" t="s">
        <v>221</v>
      </c>
      <c r="F250" s="768" t="s">
        <v>223</v>
      </c>
      <c r="G250" s="769"/>
      <c r="H250" s="485" t="s">
        <v>237</v>
      </c>
      <c r="I250" s="485" t="s">
        <v>238</v>
      </c>
      <c r="J250" s="765" t="s">
        <v>239</v>
      </c>
      <c r="K250" s="766"/>
      <c r="L250" s="767"/>
      <c r="M250" s="486" t="s">
        <v>240</v>
      </c>
      <c r="N250" s="765" t="s">
        <v>241</v>
      </c>
      <c r="O250" s="766"/>
      <c r="P250" s="767"/>
      <c r="Q250" s="768" t="s">
        <v>242</v>
      </c>
      <c r="R250" s="769"/>
      <c r="S250" s="485" t="s">
        <v>306</v>
      </c>
      <c r="T250" s="485" t="s">
        <v>243</v>
      </c>
      <c r="U250" s="770" t="s">
        <v>17</v>
      </c>
    </row>
    <row r="251" spans="1:21" ht="21" customHeight="1">
      <c r="A251" s="769" t="s">
        <v>217</v>
      </c>
      <c r="B251" s="769"/>
      <c r="C251" s="485" t="s">
        <v>219</v>
      </c>
      <c r="D251" s="485" t="s">
        <v>220</v>
      </c>
      <c r="E251" s="485" t="s">
        <v>312</v>
      </c>
      <c r="F251" s="485" t="s">
        <v>224</v>
      </c>
      <c r="G251" s="485" t="s">
        <v>225</v>
      </c>
      <c r="H251" s="485" t="s">
        <v>227</v>
      </c>
      <c r="I251" s="485" t="s">
        <v>228</v>
      </c>
      <c r="J251" s="485" t="s">
        <v>229</v>
      </c>
      <c r="K251" s="485" t="s">
        <v>230</v>
      </c>
      <c r="L251" s="485" t="s">
        <v>431</v>
      </c>
      <c r="M251" s="486" t="s">
        <v>231</v>
      </c>
      <c r="N251" s="485" t="s">
        <v>232</v>
      </c>
      <c r="O251" s="485" t="s">
        <v>233</v>
      </c>
      <c r="P251" s="485" t="s">
        <v>314</v>
      </c>
      <c r="Q251" s="485" t="s">
        <v>234</v>
      </c>
      <c r="R251" s="485" t="s">
        <v>235</v>
      </c>
      <c r="S251" s="485" t="s">
        <v>307</v>
      </c>
      <c r="T251" s="485" t="s">
        <v>236</v>
      </c>
      <c r="U251" s="770"/>
    </row>
    <row r="252" spans="1:21" ht="21" customHeight="1">
      <c r="A252" s="179">
        <v>220600</v>
      </c>
      <c r="B252" s="83" t="s">
        <v>258</v>
      </c>
      <c r="C252" s="91">
        <v>80200</v>
      </c>
      <c r="D252" s="91">
        <v>9140</v>
      </c>
      <c r="E252" s="91"/>
      <c r="F252" s="91"/>
      <c r="G252" s="91"/>
      <c r="H252" s="91"/>
      <c r="I252" s="91"/>
      <c r="J252" s="91">
        <v>11870</v>
      </c>
      <c r="K252" s="91"/>
      <c r="L252" s="91"/>
      <c r="M252" s="431"/>
      <c r="N252" s="91"/>
      <c r="O252" s="91"/>
      <c r="P252" s="91"/>
      <c r="Q252" s="91"/>
      <c r="R252" s="91"/>
      <c r="S252" s="91"/>
      <c r="T252" s="91"/>
      <c r="U252" s="181">
        <f>SUM(C252:T252)</f>
        <v>101210</v>
      </c>
    </row>
    <row r="253" spans="1:21" ht="21" customHeight="1">
      <c r="A253" s="182">
        <v>220700</v>
      </c>
      <c r="B253" s="84" t="s">
        <v>259</v>
      </c>
      <c r="C253" s="91">
        <v>45800</v>
      </c>
      <c r="D253" s="115">
        <v>5860</v>
      </c>
      <c r="E253" s="115"/>
      <c r="F253" s="115">
        <v>900</v>
      </c>
      <c r="G253" s="115"/>
      <c r="H253" s="115"/>
      <c r="I253" s="115"/>
      <c r="J253" s="91">
        <v>6130</v>
      </c>
      <c r="K253" s="115"/>
      <c r="L253" s="115"/>
      <c r="M253" s="432"/>
      <c r="N253" s="115"/>
      <c r="O253" s="115"/>
      <c r="P253" s="115"/>
      <c r="Q253" s="115"/>
      <c r="R253" s="115"/>
      <c r="S253" s="115"/>
      <c r="T253" s="115"/>
      <c r="U253" s="184">
        <f>SUM(C253:T253)</f>
        <v>58690</v>
      </c>
    </row>
    <row r="254" spans="1:22" ht="21" customHeight="1">
      <c r="A254" s="756" t="s">
        <v>252</v>
      </c>
      <c r="B254" s="757"/>
      <c r="C254" s="181">
        <f>SUM(C244:C253)</f>
        <v>311060</v>
      </c>
      <c r="D254" s="181">
        <f>SUM(D244:D253)</f>
        <v>93235</v>
      </c>
      <c r="E254" s="181">
        <f>SUM(E244:E253)</f>
        <v>0</v>
      </c>
      <c r="F254" s="181">
        <f>SUM(F244:F253)</f>
        <v>900</v>
      </c>
      <c r="G254" s="181">
        <f>SUM(G244:G253)</f>
        <v>0</v>
      </c>
      <c r="H254" s="181">
        <f>SUM(H244:H253)</f>
        <v>0</v>
      </c>
      <c r="I254" s="181">
        <f>SUM(I244:I253)</f>
        <v>0</v>
      </c>
      <c r="J254" s="181">
        <f>SUM(J244:J253)</f>
        <v>52905</v>
      </c>
      <c r="K254" s="181">
        <f>SUM(K244:K253)</f>
        <v>0</v>
      </c>
      <c r="L254" s="181">
        <f>SUM(L244:L253)</f>
        <v>0</v>
      </c>
      <c r="M254" s="433">
        <f>SUM(M244:M253)</f>
        <v>0</v>
      </c>
      <c r="N254" s="181">
        <f>SUM(N244:N253)</f>
        <v>0</v>
      </c>
      <c r="O254" s="181">
        <f>SUM(O244:O253)</f>
        <v>0</v>
      </c>
      <c r="P254" s="181"/>
      <c r="Q254" s="181">
        <f>SUM(Q244:Q253)</f>
        <v>0</v>
      </c>
      <c r="R254" s="181">
        <f>SUM(R244:R253)</f>
        <v>0</v>
      </c>
      <c r="S254" s="181">
        <f>SUM(S244:S253)</f>
        <v>0</v>
      </c>
      <c r="T254" s="181">
        <f>SUM(T244:T253)</f>
        <v>0</v>
      </c>
      <c r="U254" s="181">
        <f>SUM(C254:T254)</f>
        <v>458100</v>
      </c>
      <c r="V254" s="177">
        <f>270915+27285+159900</f>
        <v>458100</v>
      </c>
    </row>
    <row r="255" spans="1:21" ht="21" customHeight="1">
      <c r="A255" s="758" t="s">
        <v>253</v>
      </c>
      <c r="B255" s="759"/>
      <c r="C255" s="185">
        <f>+C254+C145</f>
        <v>926372.58</v>
      </c>
      <c r="D255" s="185">
        <f aca="true" t="shared" si="69" ref="D255:U255">+D254+D145</f>
        <v>279705</v>
      </c>
      <c r="E255" s="185">
        <f t="shared" si="69"/>
        <v>0</v>
      </c>
      <c r="F255" s="185">
        <f t="shared" si="69"/>
        <v>2700</v>
      </c>
      <c r="G255" s="185">
        <f t="shared" si="69"/>
        <v>0</v>
      </c>
      <c r="H255" s="185">
        <f t="shared" si="69"/>
        <v>0</v>
      </c>
      <c r="I255" s="185">
        <f t="shared" si="69"/>
        <v>0</v>
      </c>
      <c r="J255" s="185">
        <f t="shared" si="69"/>
        <v>167715</v>
      </c>
      <c r="K255" s="185">
        <f t="shared" si="69"/>
        <v>0</v>
      </c>
      <c r="L255" s="185">
        <f t="shared" si="69"/>
        <v>0</v>
      </c>
      <c r="M255" s="185">
        <f t="shared" si="69"/>
        <v>0</v>
      </c>
      <c r="N255" s="185">
        <f t="shared" si="69"/>
        <v>0</v>
      </c>
      <c r="O255" s="185">
        <f t="shared" si="69"/>
        <v>0</v>
      </c>
      <c r="P255" s="185">
        <f t="shared" si="69"/>
        <v>0</v>
      </c>
      <c r="Q255" s="185">
        <f t="shared" si="69"/>
        <v>0</v>
      </c>
      <c r="R255" s="185">
        <f t="shared" si="69"/>
        <v>0</v>
      </c>
      <c r="S255" s="185">
        <f t="shared" si="69"/>
        <v>0</v>
      </c>
      <c r="T255" s="185">
        <f t="shared" si="69"/>
        <v>0</v>
      </c>
      <c r="U255" s="185">
        <f t="shared" si="69"/>
        <v>1376492.58</v>
      </c>
    </row>
    <row r="256" spans="1:21" ht="21" customHeight="1">
      <c r="A256" s="771" t="s">
        <v>293</v>
      </c>
      <c r="B256" s="772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434"/>
      <c r="N256" s="186"/>
      <c r="O256" s="186"/>
      <c r="P256" s="186"/>
      <c r="Q256" s="186"/>
      <c r="R256" s="186"/>
      <c r="S256" s="186"/>
      <c r="T256" s="186"/>
      <c r="U256" s="187">
        <f aca="true" t="shared" si="70" ref="U256:U262">SUM(C256:T256)</f>
        <v>0</v>
      </c>
    </row>
    <row r="257" spans="1:21" ht="21" customHeight="1">
      <c r="A257" s="179">
        <v>310100</v>
      </c>
      <c r="B257" s="83" t="s">
        <v>260</v>
      </c>
      <c r="C257" s="91">
        <v>12000</v>
      </c>
      <c r="D257" s="91"/>
      <c r="E257" s="91"/>
      <c r="F257" s="91"/>
      <c r="G257" s="91"/>
      <c r="H257" s="91"/>
      <c r="I257" s="91"/>
      <c r="J257" s="91"/>
      <c r="K257" s="91"/>
      <c r="L257" s="91"/>
      <c r="M257" s="431"/>
      <c r="N257" s="91"/>
      <c r="O257" s="91"/>
      <c r="P257" s="91"/>
      <c r="Q257" s="91"/>
      <c r="R257" s="91"/>
      <c r="S257" s="91"/>
      <c r="T257" s="91"/>
      <c r="U257" s="181">
        <f t="shared" si="70"/>
        <v>12000</v>
      </c>
    </row>
    <row r="258" spans="1:21" ht="21" customHeight="1">
      <c r="A258" s="179">
        <v>310200</v>
      </c>
      <c r="B258" s="83" t="s">
        <v>261</v>
      </c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431"/>
      <c r="N258" s="91"/>
      <c r="O258" s="91"/>
      <c r="P258" s="91"/>
      <c r="Q258" s="91"/>
      <c r="R258" s="91"/>
      <c r="S258" s="91"/>
      <c r="T258" s="91"/>
      <c r="U258" s="181">
        <f t="shared" si="70"/>
        <v>0</v>
      </c>
    </row>
    <row r="259" spans="1:21" ht="21" customHeight="1">
      <c r="A259" s="179">
        <v>310300</v>
      </c>
      <c r="B259" s="83" t="s">
        <v>262</v>
      </c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431"/>
      <c r="N259" s="91"/>
      <c r="O259" s="91"/>
      <c r="P259" s="91"/>
      <c r="Q259" s="91"/>
      <c r="R259" s="91"/>
      <c r="S259" s="91"/>
      <c r="T259" s="91"/>
      <c r="U259" s="181">
        <f t="shared" si="70"/>
        <v>0</v>
      </c>
    </row>
    <row r="260" spans="1:21" ht="21" customHeight="1">
      <c r="A260" s="179">
        <v>310400</v>
      </c>
      <c r="B260" s="83" t="s">
        <v>263</v>
      </c>
      <c r="C260" s="91">
        <v>14450</v>
      </c>
      <c r="D260" s="91">
        <v>3200</v>
      </c>
      <c r="E260" s="91"/>
      <c r="F260" s="91"/>
      <c r="G260" s="91"/>
      <c r="H260" s="91"/>
      <c r="I260" s="91"/>
      <c r="J260" s="91">
        <v>1600</v>
      </c>
      <c r="K260" s="91"/>
      <c r="L260" s="91"/>
      <c r="M260" s="431"/>
      <c r="N260" s="91"/>
      <c r="O260" s="91"/>
      <c r="P260" s="91"/>
      <c r="Q260" s="91"/>
      <c r="R260" s="91"/>
      <c r="S260" s="91"/>
      <c r="T260" s="91"/>
      <c r="U260" s="181">
        <f t="shared" si="70"/>
        <v>19250</v>
      </c>
    </row>
    <row r="261" spans="1:21" ht="21" customHeight="1">
      <c r="A261" s="179">
        <v>310500</v>
      </c>
      <c r="B261" s="83" t="s">
        <v>264</v>
      </c>
      <c r="C261" s="91">
        <v>5450</v>
      </c>
      <c r="D261" s="91"/>
      <c r="E261" s="91"/>
      <c r="F261" s="91"/>
      <c r="G261" s="91"/>
      <c r="H261" s="91"/>
      <c r="I261" s="91"/>
      <c r="J261" s="91"/>
      <c r="K261" s="91"/>
      <c r="L261" s="91"/>
      <c r="M261" s="431"/>
      <c r="N261" s="91"/>
      <c r="O261" s="91"/>
      <c r="P261" s="91"/>
      <c r="Q261" s="91"/>
      <c r="R261" s="91"/>
      <c r="S261" s="91"/>
      <c r="T261" s="91"/>
      <c r="U261" s="181">
        <f t="shared" si="70"/>
        <v>5450</v>
      </c>
    </row>
    <row r="262" spans="1:21" ht="21" customHeight="1">
      <c r="A262" s="182">
        <v>310600</v>
      </c>
      <c r="B262" s="84" t="s">
        <v>265</v>
      </c>
      <c r="C262" s="91">
        <v>558</v>
      </c>
      <c r="D262" s="91"/>
      <c r="E262" s="115"/>
      <c r="F262" s="115"/>
      <c r="G262" s="115"/>
      <c r="H262" s="115"/>
      <c r="I262" s="115"/>
      <c r="J262" s="115"/>
      <c r="K262" s="115"/>
      <c r="L262" s="115"/>
      <c r="M262" s="432"/>
      <c r="N262" s="115"/>
      <c r="O262" s="115"/>
      <c r="P262" s="115"/>
      <c r="Q262" s="115"/>
      <c r="R262" s="115"/>
      <c r="S262" s="115"/>
      <c r="T262" s="115"/>
      <c r="U262" s="184">
        <f t="shared" si="70"/>
        <v>558</v>
      </c>
    </row>
    <row r="263" spans="1:21" ht="21" customHeight="1">
      <c r="A263" s="756" t="s">
        <v>252</v>
      </c>
      <c r="B263" s="757"/>
      <c r="C263" s="181">
        <f>SUM(C257:C262)</f>
        <v>32458</v>
      </c>
      <c r="D263" s="181">
        <f aca="true" t="shared" si="71" ref="D263:T263">SUM(D257:D262)</f>
        <v>3200</v>
      </c>
      <c r="E263" s="181">
        <f t="shared" si="71"/>
        <v>0</v>
      </c>
      <c r="F263" s="181">
        <f t="shared" si="71"/>
        <v>0</v>
      </c>
      <c r="G263" s="181">
        <f t="shared" si="71"/>
        <v>0</v>
      </c>
      <c r="H263" s="181">
        <f t="shared" si="71"/>
        <v>0</v>
      </c>
      <c r="I263" s="181">
        <f t="shared" si="71"/>
        <v>0</v>
      </c>
      <c r="J263" s="181">
        <f t="shared" si="71"/>
        <v>1600</v>
      </c>
      <c r="K263" s="181">
        <f t="shared" si="71"/>
        <v>0</v>
      </c>
      <c r="L263" s="181">
        <f t="shared" si="71"/>
        <v>0</v>
      </c>
      <c r="M263" s="181">
        <f t="shared" si="71"/>
        <v>0</v>
      </c>
      <c r="N263" s="181">
        <f t="shared" si="71"/>
        <v>0</v>
      </c>
      <c r="O263" s="181">
        <f t="shared" si="71"/>
        <v>0</v>
      </c>
      <c r="P263" s="181">
        <f t="shared" si="71"/>
        <v>0</v>
      </c>
      <c r="Q263" s="181">
        <f t="shared" si="71"/>
        <v>0</v>
      </c>
      <c r="R263" s="181">
        <f t="shared" si="71"/>
        <v>0</v>
      </c>
      <c r="S263" s="181">
        <f t="shared" si="71"/>
        <v>0</v>
      </c>
      <c r="T263" s="181">
        <f t="shared" si="71"/>
        <v>0</v>
      </c>
      <c r="U263" s="181">
        <f>SUM(C263:T263)</f>
        <v>37258</v>
      </c>
    </row>
    <row r="264" spans="1:21" ht="21" customHeight="1">
      <c r="A264" s="758" t="s">
        <v>253</v>
      </c>
      <c r="B264" s="759"/>
      <c r="C264" s="185">
        <f>+C263+C154</f>
        <v>56910</v>
      </c>
      <c r="D264" s="185">
        <f aca="true" t="shared" si="72" ref="D264:U264">+D263+D154</f>
        <v>25925</v>
      </c>
      <c r="E264" s="185">
        <f t="shared" si="72"/>
        <v>0</v>
      </c>
      <c r="F264" s="185">
        <f t="shared" si="72"/>
        <v>0</v>
      </c>
      <c r="G264" s="185">
        <f t="shared" si="72"/>
        <v>0</v>
      </c>
      <c r="H264" s="185">
        <f t="shared" si="72"/>
        <v>0</v>
      </c>
      <c r="I264" s="185">
        <f t="shared" si="72"/>
        <v>0</v>
      </c>
      <c r="J264" s="185">
        <f t="shared" si="72"/>
        <v>3200</v>
      </c>
      <c r="K264" s="185">
        <f t="shared" si="72"/>
        <v>0</v>
      </c>
      <c r="L264" s="185">
        <f t="shared" si="72"/>
        <v>0</v>
      </c>
      <c r="M264" s="185">
        <f t="shared" si="72"/>
        <v>0</v>
      </c>
      <c r="N264" s="185">
        <f t="shared" si="72"/>
        <v>0</v>
      </c>
      <c r="O264" s="185">
        <f t="shared" si="72"/>
        <v>0</v>
      </c>
      <c r="P264" s="185">
        <f t="shared" si="72"/>
        <v>0</v>
      </c>
      <c r="Q264" s="185">
        <f t="shared" si="72"/>
        <v>0</v>
      </c>
      <c r="R264" s="185">
        <f t="shared" si="72"/>
        <v>0</v>
      </c>
      <c r="S264" s="185">
        <f t="shared" si="72"/>
        <v>0</v>
      </c>
      <c r="T264" s="185">
        <f t="shared" si="72"/>
        <v>0</v>
      </c>
      <c r="U264" s="185">
        <f t="shared" si="72"/>
        <v>86035</v>
      </c>
    </row>
    <row r="265" spans="1:21" ht="21" customHeight="1">
      <c r="A265" s="771" t="s">
        <v>294</v>
      </c>
      <c r="B265" s="772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434"/>
      <c r="N265" s="186"/>
      <c r="O265" s="186"/>
      <c r="P265" s="186"/>
      <c r="Q265" s="186"/>
      <c r="R265" s="186"/>
      <c r="S265" s="186"/>
      <c r="T265" s="186"/>
      <c r="U265" s="187">
        <f>SUM(C265:T265)</f>
        <v>0</v>
      </c>
    </row>
    <row r="266" spans="1:21" ht="21" customHeight="1">
      <c r="A266" s="179">
        <v>320100</v>
      </c>
      <c r="B266" s="83" t="s">
        <v>266</v>
      </c>
      <c r="C266" s="91">
        <f>4500+5250+3400+7000+3000+60000+2000+1680+2400</f>
        <v>89230</v>
      </c>
      <c r="D266" s="91">
        <v>1200</v>
      </c>
      <c r="E266" s="91"/>
      <c r="F266" s="91">
        <f>7700+2000+7000+10000</f>
        <v>26700</v>
      </c>
      <c r="G266" s="91"/>
      <c r="H266" s="91">
        <v>7000</v>
      </c>
      <c r="I266" s="91"/>
      <c r="J266" s="110"/>
      <c r="K266" s="91"/>
      <c r="L266" s="91">
        <f>7000+7000+7000+7000+9910</f>
        <v>37910</v>
      </c>
      <c r="M266" s="431">
        <v>3900</v>
      </c>
      <c r="N266" s="91"/>
      <c r="O266" s="91"/>
      <c r="P266" s="91"/>
      <c r="Q266" s="91"/>
      <c r="R266" s="91"/>
      <c r="S266" s="91">
        <v>8000</v>
      </c>
      <c r="T266" s="91"/>
      <c r="U266" s="181">
        <f>SUM(C266:T266)</f>
        <v>173940</v>
      </c>
    </row>
    <row r="267" spans="1:21" ht="21" customHeight="1">
      <c r="A267" s="179">
        <v>320200</v>
      </c>
      <c r="B267" s="83" t="s">
        <v>267</v>
      </c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431"/>
      <c r="N267" s="91"/>
      <c r="O267" s="91"/>
      <c r="P267" s="91"/>
      <c r="Q267" s="91"/>
      <c r="R267" s="91"/>
      <c r="S267" s="91"/>
      <c r="T267" s="91"/>
      <c r="U267" s="181">
        <f>SUM(C267:T267)</f>
        <v>0</v>
      </c>
    </row>
    <row r="268" spans="1:21" ht="21" customHeight="1">
      <c r="A268" s="179">
        <v>320300</v>
      </c>
      <c r="B268" s="83" t="s">
        <v>268</v>
      </c>
      <c r="C268" s="91">
        <f>864+2152+7040+4072+10060+2004</f>
        <v>26192</v>
      </c>
      <c r="D268" s="91">
        <f>5032+4072</f>
        <v>9104</v>
      </c>
      <c r="E268" s="91"/>
      <c r="F268" s="91">
        <v>5160</v>
      </c>
      <c r="G268" s="91">
        <f>20000+40000</f>
        <v>60000</v>
      </c>
      <c r="H268" s="91"/>
      <c r="I268" s="91"/>
      <c r="J268" s="91"/>
      <c r="K268" s="91"/>
      <c r="L268" s="91"/>
      <c r="M268" s="431">
        <f>12000+18000+4000+16500+15000+11000+7675</f>
        <v>84175</v>
      </c>
      <c r="N268" s="91">
        <f>4800+2000+3200</f>
        <v>10000</v>
      </c>
      <c r="O268" s="91">
        <f>550+4000+5000</f>
        <v>9550</v>
      </c>
      <c r="P268" s="91"/>
      <c r="Q268" s="91"/>
      <c r="R268" s="91"/>
      <c r="S268" s="91"/>
      <c r="T268" s="91"/>
      <c r="U268" s="181">
        <f>SUM(C268:T268)</f>
        <v>204181</v>
      </c>
    </row>
    <row r="269" spans="1:21" ht="21" customHeight="1">
      <c r="A269" s="182">
        <v>320400</v>
      </c>
      <c r="B269" s="84" t="s">
        <v>269</v>
      </c>
      <c r="C269" s="115">
        <v>3250</v>
      </c>
      <c r="D269" s="115"/>
      <c r="E269" s="115"/>
      <c r="F269" s="115"/>
      <c r="G269" s="115"/>
      <c r="H269" s="115"/>
      <c r="I269" s="115"/>
      <c r="J269" s="319"/>
      <c r="K269" s="115"/>
      <c r="L269" s="115"/>
      <c r="M269" s="432"/>
      <c r="N269" s="115"/>
      <c r="O269" s="115"/>
      <c r="P269" s="115"/>
      <c r="Q269" s="115"/>
      <c r="R269" s="115"/>
      <c r="S269" s="115"/>
      <c r="T269" s="115"/>
      <c r="U269" s="181">
        <f>SUM(C269:T269)</f>
        <v>3250</v>
      </c>
    </row>
    <row r="270" spans="1:21" ht="21" customHeight="1">
      <c r="A270" s="756" t="s">
        <v>252</v>
      </c>
      <c r="B270" s="757"/>
      <c r="C270" s="181">
        <f>SUM(C266:C269)</f>
        <v>118672</v>
      </c>
      <c r="D270" s="181">
        <f>SUM(D266:D269)</f>
        <v>10304</v>
      </c>
      <c r="E270" s="181">
        <f aca="true" t="shared" si="73" ref="E270:T270">SUM(E266:E269)</f>
        <v>0</v>
      </c>
      <c r="F270" s="181">
        <f t="shared" si="73"/>
        <v>31860</v>
      </c>
      <c r="G270" s="181">
        <f t="shared" si="73"/>
        <v>60000</v>
      </c>
      <c r="H270" s="181">
        <f t="shared" si="73"/>
        <v>7000</v>
      </c>
      <c r="I270" s="181">
        <f t="shared" si="73"/>
        <v>0</v>
      </c>
      <c r="J270" s="181">
        <f t="shared" si="73"/>
        <v>0</v>
      </c>
      <c r="K270" s="181">
        <f t="shared" si="73"/>
        <v>0</v>
      </c>
      <c r="L270" s="181">
        <f t="shared" si="73"/>
        <v>37910</v>
      </c>
      <c r="M270" s="433">
        <f t="shared" si="73"/>
        <v>88075</v>
      </c>
      <c r="N270" s="181">
        <f t="shared" si="73"/>
        <v>10000</v>
      </c>
      <c r="O270" s="181">
        <f t="shared" si="73"/>
        <v>9550</v>
      </c>
      <c r="P270" s="181">
        <f t="shared" si="73"/>
        <v>0</v>
      </c>
      <c r="Q270" s="181">
        <f t="shared" si="73"/>
        <v>0</v>
      </c>
      <c r="R270" s="181">
        <f t="shared" si="73"/>
        <v>0</v>
      </c>
      <c r="S270" s="181">
        <f t="shared" si="73"/>
        <v>8000</v>
      </c>
      <c r="T270" s="181">
        <f t="shared" si="73"/>
        <v>0</v>
      </c>
      <c r="U270" s="181">
        <f>SUM(C270:T270)</f>
        <v>381371</v>
      </c>
    </row>
    <row r="271" spans="1:22" ht="21" customHeight="1">
      <c r="A271" s="758" t="s">
        <v>253</v>
      </c>
      <c r="B271" s="759"/>
      <c r="C271" s="185">
        <f>+C270+C161</f>
        <v>423676.65</v>
      </c>
      <c r="D271" s="185">
        <f aca="true" t="shared" si="74" ref="D271:U271">+D270+D161</f>
        <v>17704</v>
      </c>
      <c r="E271" s="185">
        <f t="shared" si="74"/>
        <v>0</v>
      </c>
      <c r="F271" s="185">
        <f t="shared" si="74"/>
        <v>31860</v>
      </c>
      <c r="G271" s="185">
        <f t="shared" si="74"/>
        <v>291600</v>
      </c>
      <c r="H271" s="185">
        <f t="shared" si="74"/>
        <v>7000</v>
      </c>
      <c r="I271" s="185">
        <f t="shared" si="74"/>
        <v>0</v>
      </c>
      <c r="J271" s="185">
        <f t="shared" si="74"/>
        <v>3250</v>
      </c>
      <c r="K271" s="185">
        <f t="shared" si="74"/>
        <v>0</v>
      </c>
      <c r="L271" s="185">
        <f t="shared" si="74"/>
        <v>91077.5</v>
      </c>
      <c r="M271" s="185">
        <f t="shared" si="74"/>
        <v>92105</v>
      </c>
      <c r="N271" s="185">
        <f t="shared" si="74"/>
        <v>10000</v>
      </c>
      <c r="O271" s="185">
        <f t="shared" si="74"/>
        <v>19490</v>
      </c>
      <c r="P271" s="185">
        <f t="shared" si="74"/>
        <v>0</v>
      </c>
      <c r="Q271" s="185">
        <f t="shared" si="74"/>
        <v>0</v>
      </c>
      <c r="R271" s="185">
        <f t="shared" si="74"/>
        <v>0</v>
      </c>
      <c r="S271" s="185">
        <f t="shared" si="74"/>
        <v>16000</v>
      </c>
      <c r="T271" s="185">
        <f t="shared" si="74"/>
        <v>0</v>
      </c>
      <c r="U271" s="185">
        <f t="shared" si="74"/>
        <v>1003763.15</v>
      </c>
      <c r="V271" s="177">
        <f>1015763.15-U271</f>
        <v>12000</v>
      </c>
    </row>
    <row r="272" spans="1:21" ht="21" customHeight="1">
      <c r="A272" s="771" t="s">
        <v>295</v>
      </c>
      <c r="B272" s="772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434"/>
      <c r="N272" s="186"/>
      <c r="O272" s="186"/>
      <c r="P272" s="186"/>
      <c r="Q272" s="186"/>
      <c r="R272" s="186"/>
      <c r="S272" s="186"/>
      <c r="T272" s="186"/>
      <c r="U272" s="187">
        <f aca="true" t="shared" si="75" ref="U272:U277">SUM(C272:T272)</f>
        <v>0</v>
      </c>
    </row>
    <row r="273" spans="1:21" ht="21" customHeight="1">
      <c r="A273" s="179">
        <v>330100</v>
      </c>
      <c r="B273" s="83" t="s">
        <v>270</v>
      </c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431"/>
      <c r="N273" s="91"/>
      <c r="O273" s="91"/>
      <c r="P273" s="91"/>
      <c r="Q273" s="91"/>
      <c r="R273" s="91"/>
      <c r="S273" s="91"/>
      <c r="T273" s="91"/>
      <c r="U273" s="181">
        <f t="shared" si="75"/>
        <v>0</v>
      </c>
    </row>
    <row r="274" spans="1:21" ht="21" customHeight="1">
      <c r="A274" s="179">
        <v>330200</v>
      </c>
      <c r="B274" s="83" t="s">
        <v>271</v>
      </c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431"/>
      <c r="N274" s="91"/>
      <c r="O274" s="91"/>
      <c r="P274" s="91"/>
      <c r="Q274" s="91"/>
      <c r="R274" s="91"/>
      <c r="S274" s="91"/>
      <c r="T274" s="91"/>
      <c r="U274" s="181">
        <f t="shared" si="75"/>
        <v>0</v>
      </c>
    </row>
    <row r="275" spans="1:21" ht="21" customHeight="1">
      <c r="A275" s="179">
        <v>330300</v>
      </c>
      <c r="B275" s="83" t="s">
        <v>406</v>
      </c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431"/>
      <c r="N275" s="91"/>
      <c r="O275" s="91"/>
      <c r="P275" s="91"/>
      <c r="Q275" s="91"/>
      <c r="R275" s="91"/>
      <c r="S275" s="91"/>
      <c r="T275" s="91"/>
      <c r="U275" s="181">
        <f t="shared" si="75"/>
        <v>0</v>
      </c>
    </row>
    <row r="276" spans="1:21" ht="21" customHeight="1">
      <c r="A276" s="179">
        <v>330400</v>
      </c>
      <c r="B276" s="83" t="s">
        <v>296</v>
      </c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431"/>
      <c r="N276" s="91"/>
      <c r="O276" s="91"/>
      <c r="P276" s="91"/>
      <c r="Q276" s="91"/>
      <c r="R276" s="91"/>
      <c r="S276" s="91"/>
      <c r="T276" s="91"/>
      <c r="U276" s="181">
        <f t="shared" si="75"/>
        <v>0</v>
      </c>
    </row>
    <row r="277" spans="1:21" ht="21" customHeight="1">
      <c r="A277" s="179">
        <v>330600</v>
      </c>
      <c r="B277" s="83" t="s">
        <v>272</v>
      </c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431"/>
      <c r="N277" s="91"/>
      <c r="O277" s="91"/>
      <c r="P277" s="91"/>
      <c r="Q277" s="91"/>
      <c r="R277" s="91"/>
      <c r="S277" s="91"/>
      <c r="T277" s="91"/>
      <c r="U277" s="181">
        <f t="shared" si="75"/>
        <v>0</v>
      </c>
    </row>
    <row r="278" spans="1:21" ht="21" customHeight="1">
      <c r="A278" s="179">
        <v>330800</v>
      </c>
      <c r="B278" s="83" t="s">
        <v>273</v>
      </c>
      <c r="C278" s="91">
        <v>31800</v>
      </c>
      <c r="D278" s="91"/>
      <c r="E278" s="91"/>
      <c r="F278" s="91"/>
      <c r="G278" s="91"/>
      <c r="H278" s="91">
        <v>12000</v>
      </c>
      <c r="I278" s="91"/>
      <c r="J278" s="91"/>
      <c r="K278" s="91"/>
      <c r="L278" s="91">
        <v>30000</v>
      </c>
      <c r="M278" s="431"/>
      <c r="N278" s="91"/>
      <c r="O278" s="91"/>
      <c r="P278" s="91"/>
      <c r="Q278" s="91"/>
      <c r="R278" s="91"/>
      <c r="S278" s="91"/>
      <c r="T278" s="91"/>
      <c r="U278" s="181">
        <f>SUM(C278:T278)</f>
        <v>73800</v>
      </c>
    </row>
    <row r="279" spans="1:21" ht="21" customHeight="1">
      <c r="A279" s="179">
        <v>330900</v>
      </c>
      <c r="B279" s="83" t="s">
        <v>275</v>
      </c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431"/>
      <c r="N279" s="91"/>
      <c r="O279" s="91"/>
      <c r="P279" s="91"/>
      <c r="Q279" s="91"/>
      <c r="R279" s="91"/>
      <c r="S279" s="91"/>
      <c r="T279" s="91"/>
      <c r="U279" s="181">
        <f>SUM(C279:T279)</f>
        <v>0</v>
      </c>
    </row>
    <row r="280" spans="1:21" ht="21" customHeight="1">
      <c r="A280" s="769" t="s">
        <v>216</v>
      </c>
      <c r="B280" s="769"/>
      <c r="C280" s="768" t="s">
        <v>218</v>
      </c>
      <c r="D280" s="768"/>
      <c r="E280" s="485" t="s">
        <v>221</v>
      </c>
      <c r="F280" s="768" t="s">
        <v>223</v>
      </c>
      <c r="G280" s="769"/>
      <c r="H280" s="485" t="s">
        <v>237</v>
      </c>
      <c r="I280" s="485" t="s">
        <v>238</v>
      </c>
      <c r="J280" s="765" t="s">
        <v>239</v>
      </c>
      <c r="K280" s="766"/>
      <c r="L280" s="767"/>
      <c r="M280" s="486" t="s">
        <v>240</v>
      </c>
      <c r="N280" s="765" t="s">
        <v>241</v>
      </c>
      <c r="O280" s="766"/>
      <c r="P280" s="767"/>
      <c r="Q280" s="768" t="s">
        <v>242</v>
      </c>
      <c r="R280" s="769"/>
      <c r="S280" s="485" t="s">
        <v>306</v>
      </c>
      <c r="T280" s="485" t="s">
        <v>243</v>
      </c>
      <c r="U280" s="770" t="s">
        <v>17</v>
      </c>
    </row>
    <row r="281" spans="1:21" ht="21" customHeight="1">
      <c r="A281" s="769" t="s">
        <v>217</v>
      </c>
      <c r="B281" s="769"/>
      <c r="C281" s="485" t="s">
        <v>219</v>
      </c>
      <c r="D281" s="485" t="s">
        <v>220</v>
      </c>
      <c r="E281" s="485" t="s">
        <v>312</v>
      </c>
      <c r="F281" s="485" t="s">
        <v>224</v>
      </c>
      <c r="G281" s="485" t="s">
        <v>225</v>
      </c>
      <c r="H281" s="485" t="s">
        <v>227</v>
      </c>
      <c r="I281" s="485" t="s">
        <v>228</v>
      </c>
      <c r="J281" s="485" t="s">
        <v>229</v>
      </c>
      <c r="K281" s="485" t="s">
        <v>230</v>
      </c>
      <c r="L281" s="485" t="s">
        <v>431</v>
      </c>
      <c r="M281" s="486" t="s">
        <v>231</v>
      </c>
      <c r="N281" s="485" t="s">
        <v>232</v>
      </c>
      <c r="O281" s="485" t="s">
        <v>233</v>
      </c>
      <c r="P281" s="485" t="s">
        <v>314</v>
      </c>
      <c r="Q281" s="485" t="s">
        <v>234</v>
      </c>
      <c r="R281" s="485" t="s">
        <v>235</v>
      </c>
      <c r="S281" s="485" t="s">
        <v>307</v>
      </c>
      <c r="T281" s="485" t="s">
        <v>236</v>
      </c>
      <c r="U281" s="770"/>
    </row>
    <row r="282" spans="1:21" ht="21" customHeight="1">
      <c r="A282" s="179">
        <v>331200</v>
      </c>
      <c r="B282" s="83" t="s">
        <v>276</v>
      </c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431"/>
      <c r="N282" s="91"/>
      <c r="O282" s="91"/>
      <c r="P282" s="91"/>
      <c r="Q282" s="91"/>
      <c r="R282" s="91"/>
      <c r="S282" s="91"/>
      <c r="T282" s="91"/>
      <c r="U282" s="181">
        <f aca="true" t="shared" si="76" ref="U282:U287">SUM(C282:T282)</f>
        <v>0</v>
      </c>
    </row>
    <row r="283" spans="1:21" ht="21" customHeight="1">
      <c r="A283" s="179">
        <v>331300</v>
      </c>
      <c r="B283" s="83" t="s">
        <v>277</v>
      </c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431"/>
      <c r="N283" s="91"/>
      <c r="O283" s="91"/>
      <c r="P283" s="91"/>
      <c r="Q283" s="91"/>
      <c r="R283" s="91"/>
      <c r="S283" s="91"/>
      <c r="T283" s="91"/>
      <c r="U283" s="181">
        <f t="shared" si="76"/>
        <v>0</v>
      </c>
    </row>
    <row r="284" spans="1:21" ht="21" customHeight="1">
      <c r="A284" s="179">
        <v>331400</v>
      </c>
      <c r="B284" s="83" t="s">
        <v>274</v>
      </c>
      <c r="C284" s="91">
        <v>4480</v>
      </c>
      <c r="D284" s="91">
        <v>9170</v>
      </c>
      <c r="E284" s="91"/>
      <c r="F284" s="91"/>
      <c r="G284" s="91"/>
      <c r="H284" s="91"/>
      <c r="I284" s="91"/>
      <c r="J284" s="91"/>
      <c r="K284" s="91"/>
      <c r="L284" s="91"/>
      <c r="M284" s="431"/>
      <c r="N284" s="91"/>
      <c r="O284" s="91"/>
      <c r="P284" s="91"/>
      <c r="Q284" s="91"/>
      <c r="R284" s="91"/>
      <c r="S284" s="91"/>
      <c r="T284" s="91"/>
      <c r="U284" s="181">
        <f t="shared" si="76"/>
        <v>13650</v>
      </c>
    </row>
    <row r="285" spans="1:21" ht="21" customHeight="1">
      <c r="A285" s="179">
        <v>331500</v>
      </c>
      <c r="B285" s="83" t="s">
        <v>278</v>
      </c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431"/>
      <c r="N285" s="91"/>
      <c r="O285" s="91"/>
      <c r="P285" s="91"/>
      <c r="Q285" s="91"/>
      <c r="R285" s="91"/>
      <c r="S285" s="91"/>
      <c r="T285" s="91"/>
      <c r="U285" s="181">
        <f t="shared" si="76"/>
        <v>0</v>
      </c>
    </row>
    <row r="286" spans="1:21" ht="21" customHeight="1">
      <c r="A286" s="182">
        <v>331700</v>
      </c>
      <c r="B286" s="84" t="s">
        <v>279</v>
      </c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432"/>
      <c r="N286" s="115"/>
      <c r="O286" s="115"/>
      <c r="P286" s="115"/>
      <c r="Q286" s="115"/>
      <c r="R286" s="115"/>
      <c r="S286" s="115"/>
      <c r="T286" s="115"/>
      <c r="U286" s="181">
        <f t="shared" si="76"/>
        <v>0</v>
      </c>
    </row>
    <row r="287" spans="1:21" ht="21" customHeight="1">
      <c r="A287" s="756" t="s">
        <v>252</v>
      </c>
      <c r="B287" s="757"/>
      <c r="C287" s="181">
        <f>SUM(C273:C286)</f>
        <v>36280</v>
      </c>
      <c r="D287" s="181">
        <f aca="true" t="shared" si="77" ref="D287:M287">SUM(D273:D286)</f>
        <v>9170</v>
      </c>
      <c r="E287" s="181">
        <f t="shared" si="77"/>
        <v>0</v>
      </c>
      <c r="F287" s="181">
        <f t="shared" si="77"/>
        <v>0</v>
      </c>
      <c r="G287" s="181">
        <f t="shared" si="77"/>
        <v>0</v>
      </c>
      <c r="H287" s="181">
        <f t="shared" si="77"/>
        <v>12000</v>
      </c>
      <c r="I287" s="181">
        <f t="shared" si="77"/>
        <v>0</v>
      </c>
      <c r="J287" s="181">
        <f t="shared" si="77"/>
        <v>0</v>
      </c>
      <c r="K287" s="181">
        <f t="shared" si="77"/>
        <v>0</v>
      </c>
      <c r="L287" s="181">
        <f t="shared" si="77"/>
        <v>30000</v>
      </c>
      <c r="M287" s="433">
        <f t="shared" si="77"/>
        <v>0</v>
      </c>
      <c r="N287" s="181">
        <f>SUM(N273:N286)</f>
        <v>0</v>
      </c>
      <c r="O287" s="181">
        <f>SUM(O273:O286)</f>
        <v>0</v>
      </c>
      <c r="P287" s="181"/>
      <c r="Q287" s="181">
        <f>SUM(Q273:Q286)</f>
        <v>0</v>
      </c>
      <c r="R287" s="181">
        <f>SUM(R273:R286)</f>
        <v>0</v>
      </c>
      <c r="S287" s="181">
        <f>SUM(S273:S286)</f>
        <v>0</v>
      </c>
      <c r="T287" s="181">
        <f>SUM(T273:T286)</f>
        <v>0</v>
      </c>
      <c r="U287" s="181">
        <f t="shared" si="76"/>
        <v>87450</v>
      </c>
    </row>
    <row r="288" spans="1:21" ht="21" customHeight="1">
      <c r="A288" s="758" t="s">
        <v>253</v>
      </c>
      <c r="B288" s="759"/>
      <c r="C288" s="185">
        <f>+C287+C178</f>
        <v>44110</v>
      </c>
      <c r="D288" s="185">
        <f aca="true" t="shared" si="78" ref="D288:U288">+D287+D178</f>
        <v>20900</v>
      </c>
      <c r="E288" s="185">
        <f t="shared" si="78"/>
        <v>0</v>
      </c>
      <c r="F288" s="185">
        <f t="shared" si="78"/>
        <v>0</v>
      </c>
      <c r="G288" s="185">
        <f t="shared" si="78"/>
        <v>0</v>
      </c>
      <c r="H288" s="185">
        <f t="shared" si="78"/>
        <v>56280</v>
      </c>
      <c r="I288" s="185">
        <f t="shared" si="78"/>
        <v>0</v>
      </c>
      <c r="J288" s="185">
        <f t="shared" si="78"/>
        <v>0</v>
      </c>
      <c r="K288" s="185">
        <f t="shared" si="78"/>
        <v>0</v>
      </c>
      <c r="L288" s="185">
        <f t="shared" si="78"/>
        <v>57000</v>
      </c>
      <c r="M288" s="185">
        <f t="shared" si="78"/>
        <v>0</v>
      </c>
      <c r="N288" s="185">
        <f t="shared" si="78"/>
        <v>0</v>
      </c>
      <c r="O288" s="185">
        <f t="shared" si="78"/>
        <v>0</v>
      </c>
      <c r="P288" s="185">
        <f t="shared" si="78"/>
        <v>0</v>
      </c>
      <c r="Q288" s="185">
        <f t="shared" si="78"/>
        <v>0</v>
      </c>
      <c r="R288" s="185">
        <f t="shared" si="78"/>
        <v>0</v>
      </c>
      <c r="S288" s="185">
        <f t="shared" si="78"/>
        <v>23759</v>
      </c>
      <c r="T288" s="185">
        <f t="shared" si="78"/>
        <v>0</v>
      </c>
      <c r="U288" s="185">
        <f t="shared" si="78"/>
        <v>202049</v>
      </c>
    </row>
    <row r="289" spans="1:21" ht="21" customHeight="1">
      <c r="A289" s="771" t="s">
        <v>297</v>
      </c>
      <c r="B289" s="772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434"/>
      <c r="N289" s="186"/>
      <c r="O289" s="186"/>
      <c r="P289" s="186"/>
      <c r="Q289" s="186"/>
      <c r="R289" s="186"/>
      <c r="S289" s="186"/>
      <c r="T289" s="186"/>
      <c r="U289" s="187">
        <f aca="true" t="shared" si="79" ref="U289:U294">SUM(C289:T289)</f>
        <v>0</v>
      </c>
    </row>
    <row r="290" spans="1:21" ht="21" customHeight="1">
      <c r="A290" s="179">
        <v>340100</v>
      </c>
      <c r="B290" s="83" t="s">
        <v>280</v>
      </c>
      <c r="C290" s="91">
        <v>18930.24</v>
      </c>
      <c r="D290" s="91"/>
      <c r="E290" s="91"/>
      <c r="F290" s="91"/>
      <c r="G290" s="91"/>
      <c r="H290" s="91"/>
      <c r="I290" s="91"/>
      <c r="J290" s="91"/>
      <c r="K290" s="91"/>
      <c r="L290" s="91"/>
      <c r="M290" s="431"/>
      <c r="N290" s="91"/>
      <c r="O290" s="91"/>
      <c r="P290" s="91"/>
      <c r="Q290" s="91"/>
      <c r="R290" s="91"/>
      <c r="S290" s="91">
        <v>39902.43</v>
      </c>
      <c r="T290" s="91"/>
      <c r="U290" s="181">
        <f t="shared" si="79"/>
        <v>58832.67</v>
      </c>
    </row>
    <row r="291" spans="1:21" ht="21" customHeight="1">
      <c r="A291" s="179">
        <v>340300</v>
      </c>
      <c r="B291" s="83" t="s">
        <v>281</v>
      </c>
      <c r="C291" s="91">
        <v>650.67</v>
      </c>
      <c r="D291" s="91"/>
      <c r="E291" s="91"/>
      <c r="F291" s="91"/>
      <c r="G291" s="91"/>
      <c r="H291" s="91"/>
      <c r="I291" s="91"/>
      <c r="J291" s="91"/>
      <c r="K291" s="91"/>
      <c r="L291" s="91"/>
      <c r="M291" s="431"/>
      <c r="N291" s="91"/>
      <c r="O291" s="91"/>
      <c r="P291" s="91"/>
      <c r="Q291" s="91"/>
      <c r="R291" s="91"/>
      <c r="S291" s="91"/>
      <c r="T291" s="91"/>
      <c r="U291" s="181">
        <f t="shared" si="79"/>
        <v>650.67</v>
      </c>
    </row>
    <row r="292" spans="1:21" ht="21" customHeight="1">
      <c r="A292" s="179">
        <v>340400</v>
      </c>
      <c r="B292" s="83" t="s">
        <v>282</v>
      </c>
      <c r="C292" s="91">
        <v>2946</v>
      </c>
      <c r="D292" s="91"/>
      <c r="E292" s="91"/>
      <c r="F292" s="91"/>
      <c r="G292" s="91"/>
      <c r="H292" s="91"/>
      <c r="I292" s="91"/>
      <c r="J292" s="91"/>
      <c r="K292" s="91"/>
      <c r="L292" s="91"/>
      <c r="M292" s="431"/>
      <c r="N292" s="91"/>
      <c r="O292" s="91"/>
      <c r="P292" s="91"/>
      <c r="Q292" s="91"/>
      <c r="R292" s="91"/>
      <c r="S292" s="91"/>
      <c r="T292" s="91"/>
      <c r="U292" s="181">
        <f t="shared" si="79"/>
        <v>2946</v>
      </c>
    </row>
    <row r="293" spans="1:21" ht="21" customHeight="1">
      <c r="A293" s="182">
        <v>340500</v>
      </c>
      <c r="B293" s="84" t="s">
        <v>283</v>
      </c>
      <c r="C293" s="91">
        <v>8560</v>
      </c>
      <c r="D293" s="115"/>
      <c r="E293" s="115"/>
      <c r="F293" s="115"/>
      <c r="G293" s="115"/>
      <c r="H293" s="115"/>
      <c r="I293" s="115"/>
      <c r="J293" s="115"/>
      <c r="K293" s="115"/>
      <c r="L293" s="115"/>
      <c r="M293" s="432"/>
      <c r="N293" s="115"/>
      <c r="O293" s="115"/>
      <c r="P293" s="115"/>
      <c r="Q293" s="115"/>
      <c r="R293" s="115"/>
      <c r="S293" s="115"/>
      <c r="T293" s="115"/>
      <c r="U293" s="184">
        <f t="shared" si="79"/>
        <v>8560</v>
      </c>
    </row>
    <row r="294" spans="1:21" ht="21" customHeight="1">
      <c r="A294" s="756" t="s">
        <v>252</v>
      </c>
      <c r="B294" s="757"/>
      <c r="C294" s="181">
        <f>SUM(C290:C293)</f>
        <v>31086.91</v>
      </c>
      <c r="D294" s="181">
        <f aca="true" t="shared" si="80" ref="D294:L294">SUM(D290:D293)</f>
        <v>0</v>
      </c>
      <c r="E294" s="181">
        <f t="shared" si="80"/>
        <v>0</v>
      </c>
      <c r="F294" s="181">
        <f t="shared" si="80"/>
        <v>0</v>
      </c>
      <c r="G294" s="181">
        <f t="shared" si="80"/>
        <v>0</v>
      </c>
      <c r="H294" s="181">
        <f t="shared" si="80"/>
        <v>0</v>
      </c>
      <c r="I294" s="181">
        <f t="shared" si="80"/>
        <v>0</v>
      </c>
      <c r="J294" s="181">
        <f t="shared" si="80"/>
        <v>0</v>
      </c>
      <c r="K294" s="181">
        <f t="shared" si="80"/>
        <v>0</v>
      </c>
      <c r="L294" s="181">
        <f t="shared" si="80"/>
        <v>0</v>
      </c>
      <c r="M294" s="433">
        <f>SUM(M290:M293)</f>
        <v>0</v>
      </c>
      <c r="N294" s="181">
        <f>SUM(N290:N293)</f>
        <v>0</v>
      </c>
      <c r="O294" s="181">
        <f>SUM(O290:O293)</f>
        <v>0</v>
      </c>
      <c r="P294" s="181"/>
      <c r="Q294" s="181">
        <f>SUM(Q290:Q293)</f>
        <v>0</v>
      </c>
      <c r="R294" s="181">
        <f>SUM(R290:R293)</f>
        <v>0</v>
      </c>
      <c r="S294" s="181">
        <f>SUM(S290:S293)</f>
        <v>39902.43</v>
      </c>
      <c r="T294" s="181">
        <f>SUM(T290:T293)</f>
        <v>0</v>
      </c>
      <c r="U294" s="181">
        <f t="shared" si="79"/>
        <v>70989.34</v>
      </c>
    </row>
    <row r="295" spans="1:21" ht="21" customHeight="1">
      <c r="A295" s="758" t="s">
        <v>253</v>
      </c>
      <c r="B295" s="759"/>
      <c r="C295" s="185">
        <f>+C294+C185</f>
        <v>69238.2</v>
      </c>
      <c r="D295" s="185">
        <f aca="true" t="shared" si="81" ref="D295:U295">+D294+D185</f>
        <v>0</v>
      </c>
      <c r="E295" s="185">
        <f t="shared" si="81"/>
        <v>0</v>
      </c>
      <c r="F295" s="185">
        <f t="shared" si="81"/>
        <v>0</v>
      </c>
      <c r="G295" s="185">
        <f t="shared" si="81"/>
        <v>0</v>
      </c>
      <c r="H295" s="185">
        <f t="shared" si="81"/>
        <v>3105</v>
      </c>
      <c r="I295" s="185">
        <f t="shared" si="81"/>
        <v>0</v>
      </c>
      <c r="J295" s="185">
        <f t="shared" si="81"/>
        <v>0</v>
      </c>
      <c r="K295" s="185">
        <f t="shared" si="81"/>
        <v>0</v>
      </c>
      <c r="L295" s="185">
        <f t="shared" si="81"/>
        <v>0</v>
      </c>
      <c r="M295" s="185">
        <f t="shared" si="81"/>
        <v>0</v>
      </c>
      <c r="N295" s="185">
        <f t="shared" si="81"/>
        <v>0</v>
      </c>
      <c r="O295" s="185">
        <f t="shared" si="81"/>
        <v>0</v>
      </c>
      <c r="P295" s="185">
        <f t="shared" si="81"/>
        <v>0</v>
      </c>
      <c r="Q295" s="185">
        <f t="shared" si="81"/>
        <v>0</v>
      </c>
      <c r="R295" s="185">
        <f t="shared" si="81"/>
        <v>0</v>
      </c>
      <c r="S295" s="185">
        <f t="shared" si="81"/>
        <v>88018.81</v>
      </c>
      <c r="T295" s="185">
        <f t="shared" si="81"/>
        <v>0</v>
      </c>
      <c r="U295" s="185">
        <f t="shared" si="81"/>
        <v>160362.00999999998</v>
      </c>
    </row>
    <row r="296" spans="1:21" ht="21" customHeight="1">
      <c r="A296" s="771" t="s">
        <v>298</v>
      </c>
      <c r="B296" s="772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434"/>
      <c r="N296" s="186"/>
      <c r="O296" s="186"/>
      <c r="P296" s="186"/>
      <c r="Q296" s="186"/>
      <c r="R296" s="186"/>
      <c r="S296" s="186"/>
      <c r="T296" s="186"/>
      <c r="U296" s="187">
        <f aca="true" t="shared" si="82" ref="U296:U308">SUM(C296:T296)</f>
        <v>0</v>
      </c>
    </row>
    <row r="297" spans="1:21" ht="21" customHeight="1">
      <c r="A297" s="179">
        <v>410400</v>
      </c>
      <c r="B297" s="83" t="s">
        <v>284</v>
      </c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431"/>
      <c r="N297" s="91"/>
      <c r="O297" s="91"/>
      <c r="P297" s="91"/>
      <c r="Q297" s="91"/>
      <c r="R297" s="91"/>
      <c r="S297" s="91"/>
      <c r="T297" s="91"/>
      <c r="U297" s="181">
        <f t="shared" si="82"/>
        <v>0</v>
      </c>
    </row>
    <row r="298" spans="1:21" ht="21" customHeight="1">
      <c r="A298" s="179">
        <v>410200</v>
      </c>
      <c r="B298" s="83" t="s">
        <v>344</v>
      </c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431"/>
      <c r="N298" s="91"/>
      <c r="O298" s="91"/>
      <c r="P298" s="91"/>
      <c r="Q298" s="91"/>
      <c r="R298" s="91"/>
      <c r="S298" s="91"/>
      <c r="T298" s="91"/>
      <c r="U298" s="181">
        <f t="shared" si="82"/>
        <v>0</v>
      </c>
    </row>
    <row r="299" spans="1:21" ht="21" customHeight="1">
      <c r="A299" s="179">
        <v>410300</v>
      </c>
      <c r="B299" s="83" t="s">
        <v>285</v>
      </c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431"/>
      <c r="N299" s="91"/>
      <c r="O299" s="91"/>
      <c r="P299" s="91"/>
      <c r="Q299" s="91"/>
      <c r="R299" s="91"/>
      <c r="S299" s="91"/>
      <c r="T299" s="91"/>
      <c r="U299" s="181">
        <f t="shared" si="82"/>
        <v>0</v>
      </c>
    </row>
    <row r="300" spans="1:21" ht="21" customHeight="1">
      <c r="A300" s="179">
        <v>410400</v>
      </c>
      <c r="B300" s="83" t="s">
        <v>345</v>
      </c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432"/>
      <c r="N300" s="115"/>
      <c r="O300" s="115"/>
      <c r="P300" s="115"/>
      <c r="Q300" s="115"/>
      <c r="R300" s="115"/>
      <c r="S300" s="115"/>
      <c r="T300" s="115"/>
      <c r="U300" s="181">
        <f t="shared" si="82"/>
        <v>0</v>
      </c>
    </row>
    <row r="301" spans="1:21" ht="21" customHeight="1">
      <c r="A301" s="179">
        <v>410500</v>
      </c>
      <c r="B301" s="83" t="s">
        <v>346</v>
      </c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432"/>
      <c r="N301" s="115"/>
      <c r="O301" s="115"/>
      <c r="P301" s="115"/>
      <c r="Q301" s="115"/>
      <c r="R301" s="115"/>
      <c r="S301" s="115"/>
      <c r="T301" s="115"/>
      <c r="U301" s="181">
        <f t="shared" si="82"/>
        <v>0</v>
      </c>
    </row>
    <row r="302" spans="1:21" ht="21" customHeight="1">
      <c r="A302" s="179">
        <v>410600</v>
      </c>
      <c r="B302" s="83" t="s">
        <v>347</v>
      </c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432"/>
      <c r="N302" s="115"/>
      <c r="O302" s="115"/>
      <c r="P302" s="115"/>
      <c r="Q302" s="115"/>
      <c r="R302" s="115"/>
      <c r="S302" s="115"/>
      <c r="T302" s="115"/>
      <c r="U302" s="181">
        <f t="shared" si="82"/>
        <v>0</v>
      </c>
    </row>
    <row r="303" spans="1:21" ht="21" customHeight="1">
      <c r="A303" s="179">
        <v>410700</v>
      </c>
      <c r="B303" s="83" t="s">
        <v>286</v>
      </c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431"/>
      <c r="N303" s="91"/>
      <c r="O303" s="91"/>
      <c r="P303" s="91"/>
      <c r="Q303" s="91"/>
      <c r="R303" s="91"/>
      <c r="S303" s="91"/>
      <c r="T303" s="91"/>
      <c r="U303" s="181">
        <f t="shared" si="82"/>
        <v>0</v>
      </c>
    </row>
    <row r="304" spans="1:21" ht="21" customHeight="1">
      <c r="A304" s="179">
        <v>410800</v>
      </c>
      <c r="B304" s="83" t="s">
        <v>348</v>
      </c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432"/>
      <c r="N304" s="115"/>
      <c r="O304" s="115"/>
      <c r="P304" s="115"/>
      <c r="Q304" s="115"/>
      <c r="R304" s="115"/>
      <c r="S304" s="115"/>
      <c r="T304" s="115"/>
      <c r="U304" s="181">
        <f t="shared" si="82"/>
        <v>0</v>
      </c>
    </row>
    <row r="305" spans="1:21" ht="21" customHeight="1">
      <c r="A305" s="179">
        <v>410900</v>
      </c>
      <c r="B305" s="83" t="s">
        <v>529</v>
      </c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432"/>
      <c r="N305" s="115"/>
      <c r="O305" s="115"/>
      <c r="P305" s="115"/>
      <c r="Q305" s="115"/>
      <c r="R305" s="115"/>
      <c r="S305" s="115"/>
      <c r="T305" s="115"/>
      <c r="U305" s="181">
        <f t="shared" si="82"/>
        <v>0</v>
      </c>
    </row>
    <row r="306" spans="1:21" ht="21" customHeight="1">
      <c r="A306" s="179">
        <v>411600</v>
      </c>
      <c r="B306" s="83" t="s">
        <v>349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431"/>
      <c r="N306" s="91"/>
      <c r="O306" s="91"/>
      <c r="P306" s="91"/>
      <c r="Q306" s="91"/>
      <c r="R306" s="91"/>
      <c r="S306" s="91"/>
      <c r="T306" s="91"/>
      <c r="U306" s="181">
        <f t="shared" si="82"/>
        <v>0</v>
      </c>
    </row>
    <row r="307" spans="1:21" ht="21" customHeight="1">
      <c r="A307" s="179">
        <v>411800</v>
      </c>
      <c r="B307" s="83" t="s">
        <v>287</v>
      </c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431"/>
      <c r="N307" s="91"/>
      <c r="O307" s="91"/>
      <c r="P307" s="91"/>
      <c r="Q307" s="91"/>
      <c r="R307" s="91"/>
      <c r="S307" s="91"/>
      <c r="T307" s="91"/>
      <c r="U307" s="181">
        <f t="shared" si="82"/>
        <v>0</v>
      </c>
    </row>
    <row r="308" spans="1:21" ht="21" customHeight="1">
      <c r="A308" s="756" t="s">
        <v>252</v>
      </c>
      <c r="B308" s="757"/>
      <c r="C308" s="181">
        <f>SUM(C297:C307)</f>
        <v>0</v>
      </c>
      <c r="D308" s="181">
        <f aca="true" t="shared" si="83" ref="D308:L308">SUM(D297:D307)</f>
        <v>0</v>
      </c>
      <c r="E308" s="181">
        <f t="shared" si="83"/>
        <v>0</v>
      </c>
      <c r="F308" s="181">
        <f t="shared" si="83"/>
        <v>0</v>
      </c>
      <c r="G308" s="181">
        <f t="shared" si="83"/>
        <v>0</v>
      </c>
      <c r="H308" s="181">
        <f t="shared" si="83"/>
        <v>0</v>
      </c>
      <c r="I308" s="181">
        <f t="shared" si="83"/>
        <v>0</v>
      </c>
      <c r="J308" s="181">
        <f t="shared" si="83"/>
        <v>0</v>
      </c>
      <c r="K308" s="181">
        <f t="shared" si="83"/>
        <v>0</v>
      </c>
      <c r="L308" s="181">
        <f t="shared" si="83"/>
        <v>0</v>
      </c>
      <c r="M308" s="433">
        <f>SUM(M297:M307)</f>
        <v>0</v>
      </c>
      <c r="N308" s="181">
        <f>SUM(N297:N307)</f>
        <v>0</v>
      </c>
      <c r="O308" s="181">
        <f>SUM(O297:O307)</f>
        <v>0</v>
      </c>
      <c r="P308" s="181"/>
      <c r="Q308" s="181">
        <f>SUM(Q297:Q307)</f>
        <v>0</v>
      </c>
      <c r="R308" s="181">
        <f>SUM(R297:R307)</f>
        <v>0</v>
      </c>
      <c r="S308" s="181">
        <f>SUM(S297:S307)</f>
        <v>0</v>
      </c>
      <c r="T308" s="181">
        <f>SUM(T297:T307)</f>
        <v>0</v>
      </c>
      <c r="U308" s="181">
        <f t="shared" si="82"/>
        <v>0</v>
      </c>
    </row>
    <row r="309" spans="1:21" ht="21" customHeight="1">
      <c r="A309" s="758" t="s">
        <v>253</v>
      </c>
      <c r="B309" s="759"/>
      <c r="C309" s="185">
        <f>+C308+C199</f>
        <v>0</v>
      </c>
      <c r="D309" s="185">
        <f aca="true" t="shared" si="84" ref="D309:U309">+D308+D199</f>
        <v>0</v>
      </c>
      <c r="E309" s="185">
        <f t="shared" si="84"/>
        <v>0</v>
      </c>
      <c r="F309" s="185">
        <f t="shared" si="84"/>
        <v>0</v>
      </c>
      <c r="G309" s="185">
        <f t="shared" si="84"/>
        <v>0</v>
      </c>
      <c r="H309" s="185">
        <f t="shared" si="84"/>
        <v>0</v>
      </c>
      <c r="I309" s="185">
        <f t="shared" si="84"/>
        <v>0</v>
      </c>
      <c r="J309" s="185">
        <f t="shared" si="84"/>
        <v>7900</v>
      </c>
      <c r="K309" s="185">
        <f t="shared" si="84"/>
        <v>0</v>
      </c>
      <c r="L309" s="185">
        <f t="shared" si="84"/>
        <v>0</v>
      </c>
      <c r="M309" s="185">
        <f t="shared" si="84"/>
        <v>0</v>
      </c>
      <c r="N309" s="185">
        <f t="shared" si="84"/>
        <v>0</v>
      </c>
      <c r="O309" s="185">
        <f t="shared" si="84"/>
        <v>0</v>
      </c>
      <c r="P309" s="185">
        <f t="shared" si="84"/>
        <v>0</v>
      </c>
      <c r="Q309" s="185">
        <f t="shared" si="84"/>
        <v>0</v>
      </c>
      <c r="R309" s="185">
        <f t="shared" si="84"/>
        <v>0</v>
      </c>
      <c r="S309" s="185">
        <f t="shared" si="84"/>
        <v>0</v>
      </c>
      <c r="T309" s="185">
        <f t="shared" si="84"/>
        <v>0</v>
      </c>
      <c r="U309" s="185">
        <f t="shared" si="84"/>
        <v>7900</v>
      </c>
    </row>
    <row r="310" spans="1:21" ht="21" customHeight="1">
      <c r="A310" s="769" t="s">
        <v>216</v>
      </c>
      <c r="B310" s="769"/>
      <c r="C310" s="768" t="s">
        <v>218</v>
      </c>
      <c r="D310" s="768"/>
      <c r="E310" s="485" t="s">
        <v>221</v>
      </c>
      <c r="F310" s="768" t="s">
        <v>223</v>
      </c>
      <c r="G310" s="769"/>
      <c r="H310" s="485" t="s">
        <v>237</v>
      </c>
      <c r="I310" s="485" t="s">
        <v>238</v>
      </c>
      <c r="J310" s="765" t="s">
        <v>239</v>
      </c>
      <c r="K310" s="766"/>
      <c r="L310" s="767"/>
      <c r="M310" s="486" t="s">
        <v>240</v>
      </c>
      <c r="N310" s="765" t="s">
        <v>241</v>
      </c>
      <c r="O310" s="766"/>
      <c r="P310" s="767"/>
      <c r="Q310" s="768" t="s">
        <v>242</v>
      </c>
      <c r="R310" s="769"/>
      <c r="S310" s="485" t="s">
        <v>306</v>
      </c>
      <c r="T310" s="485" t="s">
        <v>243</v>
      </c>
      <c r="U310" s="770" t="s">
        <v>17</v>
      </c>
    </row>
    <row r="311" spans="1:21" ht="21" customHeight="1">
      <c r="A311" s="769" t="s">
        <v>217</v>
      </c>
      <c r="B311" s="769"/>
      <c r="C311" s="485" t="s">
        <v>219</v>
      </c>
      <c r="D311" s="485" t="s">
        <v>220</v>
      </c>
      <c r="E311" s="485" t="s">
        <v>312</v>
      </c>
      <c r="F311" s="485" t="s">
        <v>224</v>
      </c>
      <c r="G311" s="485" t="s">
        <v>225</v>
      </c>
      <c r="H311" s="485" t="s">
        <v>227</v>
      </c>
      <c r="I311" s="485" t="s">
        <v>228</v>
      </c>
      <c r="J311" s="485" t="s">
        <v>229</v>
      </c>
      <c r="K311" s="485" t="s">
        <v>230</v>
      </c>
      <c r="L311" s="485" t="s">
        <v>431</v>
      </c>
      <c r="M311" s="486" t="s">
        <v>231</v>
      </c>
      <c r="N311" s="485" t="s">
        <v>232</v>
      </c>
      <c r="O311" s="485" t="s">
        <v>233</v>
      </c>
      <c r="P311" s="485" t="s">
        <v>314</v>
      </c>
      <c r="Q311" s="485" t="s">
        <v>234</v>
      </c>
      <c r="R311" s="485" t="s">
        <v>235</v>
      </c>
      <c r="S311" s="485" t="s">
        <v>307</v>
      </c>
      <c r="T311" s="485" t="s">
        <v>236</v>
      </c>
      <c r="U311" s="770"/>
    </row>
    <row r="312" spans="1:21" ht="21" customHeight="1">
      <c r="A312" s="771" t="s">
        <v>299</v>
      </c>
      <c r="B312" s="772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434"/>
      <c r="N312" s="186"/>
      <c r="O312" s="186"/>
      <c r="P312" s="186"/>
      <c r="Q312" s="186"/>
      <c r="R312" s="186"/>
      <c r="S312" s="186"/>
      <c r="T312" s="186"/>
      <c r="U312" s="187">
        <f>SUM(C312:T312)</f>
        <v>0</v>
      </c>
    </row>
    <row r="313" spans="1:21" ht="21" customHeight="1">
      <c r="A313" s="179">
        <v>429000</v>
      </c>
      <c r="B313" s="180" t="s">
        <v>10</v>
      </c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431"/>
      <c r="N313" s="91"/>
      <c r="O313" s="91"/>
      <c r="P313" s="91"/>
      <c r="Q313" s="91"/>
      <c r="R313" s="91"/>
      <c r="S313" s="91"/>
      <c r="T313" s="91"/>
      <c r="U313" s="181">
        <f>SUM(C313:T313)</f>
        <v>0</v>
      </c>
    </row>
    <row r="314" spans="1:21" ht="21" customHeight="1">
      <c r="A314" s="182">
        <v>421000</v>
      </c>
      <c r="B314" s="183" t="s">
        <v>303</v>
      </c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432"/>
      <c r="N314" s="115"/>
      <c r="O314" s="115"/>
      <c r="P314" s="115"/>
      <c r="Q314" s="115"/>
      <c r="R314" s="115"/>
      <c r="S314" s="115"/>
      <c r="T314" s="115"/>
      <c r="U314" s="184">
        <f>SUM(C314:T314)</f>
        <v>0</v>
      </c>
    </row>
    <row r="315" spans="1:21" ht="21" customHeight="1">
      <c r="A315" s="756" t="s">
        <v>252</v>
      </c>
      <c r="B315" s="757"/>
      <c r="C315" s="181">
        <f>SUM(C313:C314)</f>
        <v>0</v>
      </c>
      <c r="D315" s="181">
        <f aca="true" t="shared" si="85" ref="D315:S315">SUM(D313:D314)</f>
        <v>0</v>
      </c>
      <c r="E315" s="181">
        <f t="shared" si="85"/>
        <v>0</v>
      </c>
      <c r="F315" s="181">
        <f t="shared" si="85"/>
        <v>0</v>
      </c>
      <c r="G315" s="181">
        <f t="shared" si="85"/>
        <v>0</v>
      </c>
      <c r="H315" s="181">
        <f t="shared" si="85"/>
        <v>0</v>
      </c>
      <c r="I315" s="181">
        <f t="shared" si="85"/>
        <v>0</v>
      </c>
      <c r="J315" s="181">
        <f t="shared" si="85"/>
        <v>0</v>
      </c>
      <c r="K315" s="181">
        <f t="shared" si="85"/>
        <v>0</v>
      </c>
      <c r="L315" s="181">
        <f t="shared" si="85"/>
        <v>0</v>
      </c>
      <c r="M315" s="433">
        <f t="shared" si="85"/>
        <v>0</v>
      </c>
      <c r="N315" s="181">
        <f t="shared" si="85"/>
        <v>0</v>
      </c>
      <c r="O315" s="181">
        <f t="shared" si="85"/>
        <v>0</v>
      </c>
      <c r="P315" s="181">
        <f t="shared" si="85"/>
        <v>0</v>
      </c>
      <c r="Q315" s="181">
        <f t="shared" si="85"/>
        <v>0</v>
      </c>
      <c r="R315" s="181">
        <f t="shared" si="85"/>
        <v>0</v>
      </c>
      <c r="S315" s="181">
        <f t="shared" si="85"/>
        <v>0</v>
      </c>
      <c r="T315" s="181">
        <f>SUM(T313:T314)</f>
        <v>0</v>
      </c>
      <c r="U315" s="181">
        <f>SUM(C315:T315)</f>
        <v>0</v>
      </c>
    </row>
    <row r="316" spans="1:21" ht="21" customHeight="1">
      <c r="A316" s="758" t="s">
        <v>253</v>
      </c>
      <c r="B316" s="759"/>
      <c r="C316" s="185">
        <f>+C315+C206</f>
        <v>0</v>
      </c>
      <c r="D316" s="185">
        <f aca="true" t="shared" si="86" ref="D316:U316">+D315+D206</f>
        <v>0</v>
      </c>
      <c r="E316" s="185">
        <f t="shared" si="86"/>
        <v>0</v>
      </c>
      <c r="F316" s="185">
        <f t="shared" si="86"/>
        <v>0</v>
      </c>
      <c r="G316" s="185">
        <f t="shared" si="86"/>
        <v>0</v>
      </c>
      <c r="H316" s="185">
        <f t="shared" si="86"/>
        <v>0</v>
      </c>
      <c r="I316" s="185">
        <f t="shared" si="86"/>
        <v>0</v>
      </c>
      <c r="J316" s="185">
        <f t="shared" si="86"/>
        <v>0</v>
      </c>
      <c r="K316" s="185">
        <f t="shared" si="86"/>
        <v>98500</v>
      </c>
      <c r="L316" s="185">
        <f t="shared" si="86"/>
        <v>0</v>
      </c>
      <c r="M316" s="185">
        <f t="shared" si="86"/>
        <v>0</v>
      </c>
      <c r="N316" s="185">
        <f t="shared" si="86"/>
        <v>0</v>
      </c>
      <c r="O316" s="185">
        <f t="shared" si="86"/>
        <v>0</v>
      </c>
      <c r="P316" s="185">
        <f t="shared" si="86"/>
        <v>0</v>
      </c>
      <c r="Q316" s="185">
        <f t="shared" si="86"/>
        <v>0</v>
      </c>
      <c r="R316" s="185">
        <f t="shared" si="86"/>
        <v>0</v>
      </c>
      <c r="S316" s="185">
        <f t="shared" si="86"/>
        <v>0</v>
      </c>
      <c r="T316" s="185">
        <f t="shared" si="86"/>
        <v>0</v>
      </c>
      <c r="U316" s="185">
        <f t="shared" si="86"/>
        <v>98500</v>
      </c>
    </row>
    <row r="317" spans="1:21" ht="21" customHeight="1">
      <c r="A317" s="771" t="s">
        <v>300</v>
      </c>
      <c r="B317" s="772"/>
      <c r="C317" s="186"/>
      <c r="D317" s="186"/>
      <c r="E317" s="186"/>
      <c r="F317" s="186"/>
      <c r="G317" s="186"/>
      <c r="H317" s="186"/>
      <c r="I317" s="186"/>
      <c r="J317" s="186"/>
      <c r="K317" s="186"/>
      <c r="L317" s="186"/>
      <c r="M317" s="434"/>
      <c r="N317" s="186"/>
      <c r="O317" s="186"/>
      <c r="P317" s="186"/>
      <c r="Q317" s="186"/>
      <c r="R317" s="186"/>
      <c r="S317" s="186"/>
      <c r="T317" s="186"/>
      <c r="U317" s="187">
        <f>SUM(C317:T317)</f>
        <v>0</v>
      </c>
    </row>
    <row r="318" spans="1:21" ht="21" customHeight="1">
      <c r="A318" s="179">
        <v>610100</v>
      </c>
      <c r="B318" s="188" t="s">
        <v>302</v>
      </c>
      <c r="C318" s="91">
        <v>20000</v>
      </c>
      <c r="D318" s="91"/>
      <c r="E318" s="91"/>
      <c r="F318" s="91"/>
      <c r="G318" s="91"/>
      <c r="H318" s="91"/>
      <c r="I318" s="91"/>
      <c r="J318" s="91"/>
      <c r="K318" s="91"/>
      <c r="L318" s="91"/>
      <c r="M318" s="431"/>
      <c r="N318" s="91"/>
      <c r="O318" s="91"/>
      <c r="P318" s="91"/>
      <c r="Q318" s="91"/>
      <c r="R318" s="91"/>
      <c r="S318" s="91"/>
      <c r="T318" s="91"/>
      <c r="U318" s="181">
        <f>SUM(C318:T318)</f>
        <v>20000</v>
      </c>
    </row>
    <row r="319" spans="1:21" ht="21" customHeight="1">
      <c r="A319" s="179">
        <v>610200</v>
      </c>
      <c r="B319" s="180" t="s">
        <v>288</v>
      </c>
      <c r="C319" s="91"/>
      <c r="D319" s="91"/>
      <c r="E319" s="91"/>
      <c r="F319" s="91"/>
      <c r="G319" s="91"/>
      <c r="H319" s="91">
        <v>0</v>
      </c>
      <c r="I319" s="91"/>
      <c r="J319" s="91"/>
      <c r="K319" s="91"/>
      <c r="L319" s="91"/>
      <c r="M319" s="431">
        <f>10000+20000+6000+30000+5000</f>
        <v>71000</v>
      </c>
      <c r="N319" s="91"/>
      <c r="O319" s="91"/>
      <c r="P319" s="91"/>
      <c r="Q319" s="91"/>
      <c r="R319" s="91"/>
      <c r="S319" s="91"/>
      <c r="T319" s="91"/>
      <c r="U319" s="181">
        <f>SUM(C319:T319)</f>
        <v>71000</v>
      </c>
    </row>
    <row r="320" spans="1:21" ht="21" customHeight="1">
      <c r="A320" s="182">
        <v>610400</v>
      </c>
      <c r="B320" s="183" t="s">
        <v>301</v>
      </c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432"/>
      <c r="N320" s="115"/>
      <c r="O320" s="115"/>
      <c r="P320" s="115"/>
      <c r="Q320" s="115"/>
      <c r="R320" s="115"/>
      <c r="S320" s="115"/>
      <c r="T320" s="115"/>
      <c r="U320" s="184">
        <f>SUM(C320:T320)</f>
        <v>0</v>
      </c>
    </row>
    <row r="321" spans="1:21" ht="21" customHeight="1">
      <c r="A321" s="756" t="s">
        <v>252</v>
      </c>
      <c r="B321" s="757"/>
      <c r="C321" s="181">
        <f aca="true" t="shared" si="87" ref="C321:O321">SUM(C318:C320)</f>
        <v>20000</v>
      </c>
      <c r="D321" s="181">
        <f t="shared" si="87"/>
        <v>0</v>
      </c>
      <c r="E321" s="181">
        <f t="shared" si="87"/>
        <v>0</v>
      </c>
      <c r="F321" s="181">
        <f t="shared" si="87"/>
        <v>0</v>
      </c>
      <c r="G321" s="181">
        <f t="shared" si="87"/>
        <v>0</v>
      </c>
      <c r="H321" s="181">
        <f t="shared" si="87"/>
        <v>0</v>
      </c>
      <c r="I321" s="181">
        <f t="shared" si="87"/>
        <v>0</v>
      </c>
      <c r="J321" s="181">
        <f t="shared" si="87"/>
        <v>0</v>
      </c>
      <c r="K321" s="181">
        <f t="shared" si="87"/>
        <v>0</v>
      </c>
      <c r="L321" s="181">
        <f t="shared" si="87"/>
        <v>0</v>
      </c>
      <c r="M321" s="433">
        <f t="shared" si="87"/>
        <v>71000</v>
      </c>
      <c r="N321" s="181">
        <f t="shared" si="87"/>
        <v>0</v>
      </c>
      <c r="O321" s="181">
        <f t="shared" si="87"/>
        <v>0</v>
      </c>
      <c r="P321" s="181"/>
      <c r="Q321" s="181">
        <f>SUM(Q318:Q320)</f>
        <v>0</v>
      </c>
      <c r="R321" s="181">
        <f>SUM(R318:R320)</f>
        <v>0</v>
      </c>
      <c r="S321" s="181">
        <f>SUM(S318:S320)</f>
        <v>0</v>
      </c>
      <c r="T321" s="181">
        <f>SUM(T318:T320)</f>
        <v>0</v>
      </c>
      <c r="U321" s="181">
        <f>SUM(C321:T321)</f>
        <v>91000</v>
      </c>
    </row>
    <row r="322" spans="1:21" ht="21" customHeight="1">
      <c r="A322" s="758" t="s">
        <v>253</v>
      </c>
      <c r="B322" s="759"/>
      <c r="C322" s="185">
        <f>+C321+C212</f>
        <v>20000</v>
      </c>
      <c r="D322" s="185">
        <f aca="true" t="shared" si="88" ref="D322:U322">+D321+D212</f>
        <v>0</v>
      </c>
      <c r="E322" s="185">
        <f t="shared" si="88"/>
        <v>0</v>
      </c>
      <c r="F322" s="185">
        <f t="shared" si="88"/>
        <v>0</v>
      </c>
      <c r="G322" s="185">
        <f t="shared" si="88"/>
        <v>921000</v>
      </c>
      <c r="H322" s="185">
        <f t="shared" si="88"/>
        <v>0</v>
      </c>
      <c r="I322" s="185">
        <f t="shared" si="88"/>
        <v>0</v>
      </c>
      <c r="J322" s="185">
        <f t="shared" si="88"/>
        <v>0</v>
      </c>
      <c r="K322" s="185">
        <f t="shared" si="88"/>
        <v>0</v>
      </c>
      <c r="L322" s="185">
        <f t="shared" si="88"/>
        <v>0</v>
      </c>
      <c r="M322" s="185">
        <f t="shared" si="88"/>
        <v>71000</v>
      </c>
      <c r="N322" s="185">
        <f t="shared" si="88"/>
        <v>0</v>
      </c>
      <c r="O322" s="185">
        <f t="shared" si="88"/>
        <v>0</v>
      </c>
      <c r="P322" s="185">
        <f t="shared" si="88"/>
        <v>0</v>
      </c>
      <c r="Q322" s="185">
        <f t="shared" si="88"/>
        <v>0</v>
      </c>
      <c r="R322" s="185">
        <f t="shared" si="88"/>
        <v>0</v>
      </c>
      <c r="S322" s="185">
        <f t="shared" si="88"/>
        <v>0</v>
      </c>
      <c r="T322" s="185">
        <f t="shared" si="88"/>
        <v>0</v>
      </c>
      <c r="U322" s="185">
        <f t="shared" si="88"/>
        <v>1012000</v>
      </c>
    </row>
    <row r="323" spans="1:21" ht="21" customHeight="1">
      <c r="A323" s="771" t="s">
        <v>304</v>
      </c>
      <c r="B323" s="772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434"/>
      <c r="N323" s="186"/>
      <c r="O323" s="186"/>
      <c r="P323" s="186"/>
      <c r="Q323" s="186"/>
      <c r="R323" s="186"/>
      <c r="S323" s="186"/>
      <c r="T323" s="186"/>
      <c r="U323" s="187">
        <f>SUM(C323:T323)</f>
        <v>0</v>
      </c>
    </row>
    <row r="324" spans="1:21" ht="21" customHeight="1">
      <c r="A324" s="179">
        <v>551000</v>
      </c>
      <c r="B324" s="180" t="s">
        <v>12</v>
      </c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431"/>
      <c r="N324" s="91"/>
      <c r="O324" s="91"/>
      <c r="P324" s="91"/>
      <c r="Q324" s="91"/>
      <c r="R324" s="91"/>
      <c r="S324" s="91"/>
      <c r="T324" s="91"/>
      <c r="U324" s="181">
        <f>SUM(C324:T324)</f>
        <v>0</v>
      </c>
    </row>
    <row r="325" spans="1:21" ht="21" customHeight="1">
      <c r="A325" s="182">
        <v>510100</v>
      </c>
      <c r="B325" s="183" t="s">
        <v>305</v>
      </c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432"/>
      <c r="N325" s="115"/>
      <c r="O325" s="115"/>
      <c r="P325" s="115"/>
      <c r="Q325" s="115"/>
      <c r="R325" s="115"/>
      <c r="S325" s="115"/>
      <c r="T325" s="115"/>
      <c r="U325" s="184">
        <f>SUM(C325:T325)</f>
        <v>0</v>
      </c>
    </row>
    <row r="326" spans="1:21" ht="21" customHeight="1">
      <c r="A326" s="756" t="s">
        <v>252</v>
      </c>
      <c r="B326" s="757"/>
      <c r="C326" s="181">
        <f>SUM(C324:C325)</f>
        <v>0</v>
      </c>
      <c r="D326" s="181">
        <f aca="true" t="shared" si="89" ref="D326:O326">SUM(D324:D325)</f>
        <v>0</v>
      </c>
      <c r="E326" s="181">
        <f t="shared" si="89"/>
        <v>0</v>
      </c>
      <c r="F326" s="181">
        <f t="shared" si="89"/>
        <v>0</v>
      </c>
      <c r="G326" s="181">
        <f t="shared" si="89"/>
        <v>0</v>
      </c>
      <c r="H326" s="181">
        <f t="shared" si="89"/>
        <v>0</v>
      </c>
      <c r="I326" s="181">
        <f t="shared" si="89"/>
        <v>0</v>
      </c>
      <c r="J326" s="181">
        <f t="shared" si="89"/>
        <v>0</v>
      </c>
      <c r="K326" s="181">
        <f t="shared" si="89"/>
        <v>0</v>
      </c>
      <c r="L326" s="181">
        <f t="shared" si="89"/>
        <v>0</v>
      </c>
      <c r="M326" s="433">
        <f t="shared" si="89"/>
        <v>0</v>
      </c>
      <c r="N326" s="181">
        <f t="shared" si="89"/>
        <v>0</v>
      </c>
      <c r="O326" s="181">
        <f t="shared" si="89"/>
        <v>0</v>
      </c>
      <c r="P326" s="181"/>
      <c r="Q326" s="181">
        <f>SUM(Q324:Q325)</f>
        <v>0</v>
      </c>
      <c r="R326" s="181">
        <f>SUM(R324:R325)</f>
        <v>0</v>
      </c>
      <c r="S326" s="181">
        <f>SUM(S324:S325)</f>
        <v>0</v>
      </c>
      <c r="T326" s="181">
        <f>SUM(T324:T325)</f>
        <v>0</v>
      </c>
      <c r="U326" s="181">
        <f>SUM(C326:T326)</f>
        <v>0</v>
      </c>
    </row>
    <row r="327" spans="1:21" ht="21" customHeight="1">
      <c r="A327" s="758" t="s">
        <v>253</v>
      </c>
      <c r="B327" s="759"/>
      <c r="C327" s="185">
        <f>+C326+C217</f>
        <v>0</v>
      </c>
      <c r="D327" s="185">
        <f aca="true" t="shared" si="90" ref="D327:U327">+D326+D217</f>
        <v>0</v>
      </c>
      <c r="E327" s="185">
        <f t="shared" si="90"/>
        <v>0</v>
      </c>
      <c r="F327" s="185">
        <f t="shared" si="90"/>
        <v>0</v>
      </c>
      <c r="G327" s="185">
        <f t="shared" si="90"/>
        <v>0</v>
      </c>
      <c r="H327" s="185">
        <f t="shared" si="90"/>
        <v>0</v>
      </c>
      <c r="I327" s="185">
        <f t="shared" si="90"/>
        <v>0</v>
      </c>
      <c r="J327" s="185">
        <f t="shared" si="90"/>
        <v>0</v>
      </c>
      <c r="K327" s="185">
        <f t="shared" si="90"/>
        <v>0</v>
      </c>
      <c r="L327" s="185">
        <f t="shared" si="90"/>
        <v>0</v>
      </c>
      <c r="M327" s="185">
        <f t="shared" si="90"/>
        <v>0</v>
      </c>
      <c r="N327" s="185">
        <f t="shared" si="90"/>
        <v>0</v>
      </c>
      <c r="O327" s="185">
        <f t="shared" si="90"/>
        <v>0</v>
      </c>
      <c r="P327" s="185">
        <f t="shared" si="90"/>
        <v>0</v>
      </c>
      <c r="Q327" s="185">
        <f t="shared" si="90"/>
        <v>0</v>
      </c>
      <c r="R327" s="185">
        <f t="shared" si="90"/>
        <v>0</v>
      </c>
      <c r="S327" s="185">
        <f t="shared" si="90"/>
        <v>0</v>
      </c>
      <c r="T327" s="185">
        <f t="shared" si="90"/>
        <v>0</v>
      </c>
      <c r="U327" s="185">
        <f t="shared" si="90"/>
        <v>0</v>
      </c>
    </row>
    <row r="328" spans="1:21" ht="21" customHeight="1">
      <c r="A328" s="760" t="s">
        <v>252</v>
      </c>
      <c r="B328" s="761"/>
      <c r="C328" s="56">
        <f aca="true" t="shared" si="91" ref="C328:T328">SUM(C234,C242,C254,C263,C270,C287,C294,C308,C315,C321,C326)</f>
        <v>777614.91</v>
      </c>
      <c r="D328" s="56">
        <f t="shared" si="91"/>
        <v>115909</v>
      </c>
      <c r="E328" s="56">
        <f t="shared" si="91"/>
        <v>0</v>
      </c>
      <c r="F328" s="56">
        <f t="shared" si="91"/>
        <v>32760</v>
      </c>
      <c r="G328" s="56">
        <f t="shared" si="91"/>
        <v>60000</v>
      </c>
      <c r="H328" s="56">
        <f t="shared" si="91"/>
        <v>19000</v>
      </c>
      <c r="I328" s="56">
        <f t="shared" si="91"/>
        <v>0</v>
      </c>
      <c r="J328" s="56">
        <f t="shared" si="91"/>
        <v>54505</v>
      </c>
      <c r="K328" s="56">
        <f t="shared" si="91"/>
        <v>0</v>
      </c>
      <c r="L328" s="56">
        <f t="shared" si="91"/>
        <v>67910</v>
      </c>
      <c r="M328" s="435">
        <f t="shared" si="91"/>
        <v>159075</v>
      </c>
      <c r="N328" s="56">
        <f t="shared" si="91"/>
        <v>10000</v>
      </c>
      <c r="O328" s="56">
        <f t="shared" si="91"/>
        <v>9550</v>
      </c>
      <c r="P328" s="56">
        <f t="shared" si="91"/>
        <v>0</v>
      </c>
      <c r="Q328" s="56">
        <f t="shared" si="91"/>
        <v>0</v>
      </c>
      <c r="R328" s="56">
        <f t="shared" si="91"/>
        <v>0</v>
      </c>
      <c r="S328" s="56">
        <f t="shared" si="91"/>
        <v>47902.43</v>
      </c>
      <c r="T328" s="56">
        <f t="shared" si="91"/>
        <v>358990.61</v>
      </c>
      <c r="U328" s="56">
        <f>SUM(C328:T328)</f>
        <v>1713216.9500000002</v>
      </c>
    </row>
    <row r="329" spans="1:22" ht="21" customHeight="1">
      <c r="A329" s="760" t="s">
        <v>253</v>
      </c>
      <c r="B329" s="761"/>
      <c r="C329" s="56">
        <f aca="true" t="shared" si="92" ref="C329:T329">SUM(C235,C243,C255,C264,C271,C288,C295,C309,C316,C322,C327)</f>
        <v>2186485.43</v>
      </c>
      <c r="D329" s="56">
        <f t="shared" si="92"/>
        <v>344234</v>
      </c>
      <c r="E329" s="56">
        <f t="shared" si="92"/>
        <v>0</v>
      </c>
      <c r="F329" s="56">
        <f t="shared" si="92"/>
        <v>34560</v>
      </c>
      <c r="G329" s="56">
        <f t="shared" si="92"/>
        <v>1212600</v>
      </c>
      <c r="H329" s="56">
        <f t="shared" si="92"/>
        <v>66385</v>
      </c>
      <c r="I329" s="56">
        <f t="shared" si="92"/>
        <v>0</v>
      </c>
      <c r="J329" s="56">
        <f t="shared" si="92"/>
        <v>182065</v>
      </c>
      <c r="K329" s="56">
        <f t="shared" si="92"/>
        <v>98500</v>
      </c>
      <c r="L329" s="56">
        <f t="shared" si="92"/>
        <v>148077.5</v>
      </c>
      <c r="M329" s="435">
        <f t="shared" si="92"/>
        <v>163105</v>
      </c>
      <c r="N329" s="56">
        <f t="shared" si="92"/>
        <v>10000</v>
      </c>
      <c r="O329" s="56">
        <f t="shared" si="92"/>
        <v>19490</v>
      </c>
      <c r="P329" s="56">
        <f t="shared" si="92"/>
        <v>0</v>
      </c>
      <c r="Q329" s="56">
        <f t="shared" si="92"/>
        <v>0</v>
      </c>
      <c r="R329" s="56">
        <f t="shared" si="92"/>
        <v>0</v>
      </c>
      <c r="S329" s="56">
        <f t="shared" si="92"/>
        <v>127777.81</v>
      </c>
      <c r="T329" s="56">
        <f t="shared" si="92"/>
        <v>559987.61</v>
      </c>
      <c r="U329" s="56">
        <f>SUM(C329:T329)</f>
        <v>5153267.35</v>
      </c>
      <c r="V329" s="177">
        <f>+U219</f>
        <v>3440050.4</v>
      </c>
    </row>
    <row r="330" spans="1:21" ht="21" customHeight="1">
      <c r="A330" s="763" t="s">
        <v>621</v>
      </c>
      <c r="B330" s="763"/>
      <c r="C330" s="763"/>
      <c r="D330" s="763"/>
      <c r="E330" s="763"/>
      <c r="F330" s="763"/>
      <c r="G330" s="763"/>
      <c r="H330" s="763"/>
      <c r="I330" s="763"/>
      <c r="J330" s="763"/>
      <c r="K330" s="763"/>
      <c r="L330" s="763"/>
      <c r="M330" s="762" t="str">
        <f>+A330</f>
        <v>เทศบาลตำบลเขาพระ อำเภอพิปูน จังหวัดนครศรีธรรมราช</v>
      </c>
      <c r="N330" s="762"/>
      <c r="O330" s="762"/>
      <c r="P330" s="762"/>
      <c r="Q330" s="762"/>
      <c r="R330" s="762"/>
      <c r="S330" s="762"/>
      <c r="T330" s="762"/>
      <c r="U330" s="762"/>
    </row>
    <row r="331" spans="1:21" ht="21" customHeight="1">
      <c r="A331" s="763" t="s">
        <v>215</v>
      </c>
      <c r="B331" s="763"/>
      <c r="C331" s="763"/>
      <c r="D331" s="763"/>
      <c r="E331" s="763"/>
      <c r="F331" s="763"/>
      <c r="G331" s="763"/>
      <c r="H331" s="763"/>
      <c r="I331" s="763"/>
      <c r="J331" s="763"/>
      <c r="K331" s="763"/>
      <c r="L331" s="763"/>
      <c r="M331" s="763" t="s">
        <v>215</v>
      </c>
      <c r="N331" s="763"/>
      <c r="O331" s="763"/>
      <c r="P331" s="763"/>
      <c r="Q331" s="763"/>
      <c r="R331" s="763"/>
      <c r="S331" s="763"/>
      <c r="T331" s="763"/>
      <c r="U331" s="763"/>
    </row>
    <row r="332" spans="1:21" ht="21" customHeight="1">
      <c r="A332" s="764" t="s">
        <v>666</v>
      </c>
      <c r="B332" s="764"/>
      <c r="C332" s="764"/>
      <c r="D332" s="764"/>
      <c r="E332" s="764"/>
      <c r="F332" s="764"/>
      <c r="G332" s="764"/>
      <c r="H332" s="764"/>
      <c r="I332" s="764"/>
      <c r="J332" s="764"/>
      <c r="K332" s="764"/>
      <c r="L332" s="764"/>
      <c r="M332" s="764" t="s">
        <v>666</v>
      </c>
      <c r="N332" s="764"/>
      <c r="O332" s="764"/>
      <c r="P332" s="764"/>
      <c r="Q332" s="764"/>
      <c r="R332" s="764"/>
      <c r="S332" s="764"/>
      <c r="T332" s="764"/>
      <c r="U332" s="764"/>
    </row>
    <row r="333" spans="1:21" ht="21" customHeight="1">
      <c r="A333" s="769" t="s">
        <v>216</v>
      </c>
      <c r="B333" s="769"/>
      <c r="C333" s="768" t="s">
        <v>218</v>
      </c>
      <c r="D333" s="768"/>
      <c r="E333" s="496" t="s">
        <v>221</v>
      </c>
      <c r="F333" s="768" t="s">
        <v>223</v>
      </c>
      <c r="G333" s="769"/>
      <c r="H333" s="496" t="s">
        <v>237</v>
      </c>
      <c r="I333" s="496" t="s">
        <v>238</v>
      </c>
      <c r="J333" s="765" t="s">
        <v>239</v>
      </c>
      <c r="K333" s="766"/>
      <c r="L333" s="767"/>
      <c r="M333" s="495" t="s">
        <v>240</v>
      </c>
      <c r="N333" s="765" t="s">
        <v>241</v>
      </c>
      <c r="O333" s="766"/>
      <c r="P333" s="767"/>
      <c r="Q333" s="768" t="s">
        <v>242</v>
      </c>
      <c r="R333" s="769"/>
      <c r="S333" s="496" t="s">
        <v>306</v>
      </c>
      <c r="T333" s="496" t="s">
        <v>243</v>
      </c>
      <c r="U333" s="770" t="s">
        <v>17</v>
      </c>
    </row>
    <row r="334" spans="1:21" ht="21" customHeight="1">
      <c r="A334" s="769" t="s">
        <v>217</v>
      </c>
      <c r="B334" s="769"/>
      <c r="C334" s="496" t="s">
        <v>219</v>
      </c>
      <c r="D334" s="496" t="s">
        <v>220</v>
      </c>
      <c r="E334" s="496" t="s">
        <v>312</v>
      </c>
      <c r="F334" s="496" t="s">
        <v>224</v>
      </c>
      <c r="G334" s="496" t="s">
        <v>225</v>
      </c>
      <c r="H334" s="496" t="s">
        <v>227</v>
      </c>
      <c r="I334" s="496" t="s">
        <v>228</v>
      </c>
      <c r="J334" s="496" t="s">
        <v>229</v>
      </c>
      <c r="K334" s="496" t="s">
        <v>230</v>
      </c>
      <c r="L334" s="496" t="s">
        <v>431</v>
      </c>
      <c r="M334" s="495" t="s">
        <v>231</v>
      </c>
      <c r="N334" s="496" t="s">
        <v>232</v>
      </c>
      <c r="O334" s="496" t="s">
        <v>233</v>
      </c>
      <c r="P334" s="496" t="s">
        <v>314</v>
      </c>
      <c r="Q334" s="496" t="s">
        <v>234</v>
      </c>
      <c r="R334" s="496" t="s">
        <v>235</v>
      </c>
      <c r="S334" s="496" t="s">
        <v>307</v>
      </c>
      <c r="T334" s="496" t="s">
        <v>236</v>
      </c>
      <c r="U334" s="770"/>
    </row>
    <row r="335" spans="1:21" ht="21" customHeight="1">
      <c r="A335" s="771" t="s">
        <v>290</v>
      </c>
      <c r="B335" s="772"/>
      <c r="C335" s="178"/>
      <c r="D335" s="178"/>
      <c r="E335" s="178"/>
      <c r="F335" s="178"/>
      <c r="G335" s="178"/>
      <c r="H335" s="178"/>
      <c r="I335" s="178"/>
      <c r="J335" s="178"/>
      <c r="K335" s="178"/>
      <c r="L335" s="178"/>
      <c r="M335" s="430"/>
      <c r="N335" s="178"/>
      <c r="O335" s="178"/>
      <c r="P335" s="178"/>
      <c r="Q335" s="178"/>
      <c r="R335" s="178"/>
      <c r="S335" s="178"/>
      <c r="T335" s="178"/>
      <c r="U335" s="178"/>
    </row>
    <row r="336" spans="1:21" ht="21" customHeight="1">
      <c r="A336" s="179">
        <v>110300</v>
      </c>
      <c r="B336" s="180" t="s">
        <v>244</v>
      </c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431"/>
      <c r="N336" s="91"/>
      <c r="O336" s="91"/>
      <c r="P336" s="91"/>
      <c r="Q336" s="91"/>
      <c r="R336" s="91"/>
      <c r="S336" s="91"/>
      <c r="T336" s="91">
        <f>12720+1512</f>
        <v>14232</v>
      </c>
      <c r="U336" s="181">
        <f>SUM(C336:T336)</f>
        <v>14232</v>
      </c>
    </row>
    <row r="337" spans="1:21" ht="21" customHeight="1">
      <c r="A337" s="179">
        <v>110700</v>
      </c>
      <c r="B337" s="180" t="s">
        <v>127</v>
      </c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431"/>
      <c r="N337" s="91"/>
      <c r="O337" s="91"/>
      <c r="P337" s="91"/>
      <c r="Q337" s="91"/>
      <c r="R337" s="91"/>
      <c r="S337" s="91"/>
      <c r="T337" s="91"/>
      <c r="U337" s="181">
        <f aca="true" t="shared" si="93" ref="U337:U342">SUM(C337:T337)</f>
        <v>0</v>
      </c>
    </row>
    <row r="338" spans="1:21" ht="21" customHeight="1">
      <c r="A338" s="179">
        <v>110800</v>
      </c>
      <c r="B338" s="180" t="s">
        <v>133</v>
      </c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431"/>
      <c r="N338" s="91"/>
      <c r="O338" s="91"/>
      <c r="P338" s="91"/>
      <c r="Q338" s="91"/>
      <c r="R338" s="91"/>
      <c r="S338" s="91"/>
      <c r="T338" s="91"/>
      <c r="U338" s="181">
        <f t="shared" si="93"/>
        <v>0</v>
      </c>
    </row>
    <row r="339" spans="1:21" ht="21" customHeight="1">
      <c r="A339" s="179">
        <v>110900</v>
      </c>
      <c r="B339" s="180" t="s">
        <v>134</v>
      </c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431"/>
      <c r="N339" s="91"/>
      <c r="O339" s="91"/>
      <c r="P339" s="91"/>
      <c r="Q339" s="91"/>
      <c r="R339" s="91"/>
      <c r="S339" s="91"/>
      <c r="T339" s="91">
        <v>7500</v>
      </c>
      <c r="U339" s="181">
        <f t="shared" si="93"/>
        <v>7500</v>
      </c>
    </row>
    <row r="340" spans="1:21" ht="21" customHeight="1">
      <c r="A340" s="179">
        <v>111000</v>
      </c>
      <c r="B340" s="180" t="s">
        <v>135</v>
      </c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431"/>
      <c r="N340" s="91"/>
      <c r="O340" s="91"/>
      <c r="P340" s="91"/>
      <c r="Q340" s="91"/>
      <c r="R340" s="91"/>
      <c r="S340" s="91"/>
      <c r="T340" s="91"/>
      <c r="U340" s="181">
        <f t="shared" si="93"/>
        <v>0</v>
      </c>
    </row>
    <row r="341" spans="1:21" ht="21" customHeight="1">
      <c r="A341" s="179">
        <v>111100</v>
      </c>
      <c r="B341" s="180" t="s">
        <v>246</v>
      </c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431"/>
      <c r="N341" s="91"/>
      <c r="O341" s="91"/>
      <c r="P341" s="91"/>
      <c r="Q341" s="91"/>
      <c r="R341" s="91"/>
      <c r="S341" s="91"/>
      <c r="T341" s="91"/>
      <c r="U341" s="181">
        <f t="shared" si="93"/>
        <v>0</v>
      </c>
    </row>
    <row r="342" spans="1:21" ht="21" customHeight="1">
      <c r="A342" s="179">
        <v>111200</v>
      </c>
      <c r="B342" s="180" t="s">
        <v>528</v>
      </c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431"/>
      <c r="N342" s="91"/>
      <c r="O342" s="91"/>
      <c r="P342" s="91"/>
      <c r="Q342" s="91"/>
      <c r="R342" s="91"/>
      <c r="S342" s="91"/>
      <c r="T342" s="91"/>
      <c r="U342" s="181">
        <f t="shared" si="93"/>
        <v>0</v>
      </c>
    </row>
    <row r="343" spans="1:21" ht="21" customHeight="1">
      <c r="A343" s="182">
        <v>120100</v>
      </c>
      <c r="B343" s="183" t="s">
        <v>245</v>
      </c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432"/>
      <c r="N343" s="115"/>
      <c r="O343" s="115"/>
      <c r="P343" s="115"/>
      <c r="Q343" s="115"/>
      <c r="R343" s="115"/>
      <c r="S343" s="115"/>
      <c r="T343" s="115"/>
      <c r="U343" s="184">
        <f>SUM(C343:T343)</f>
        <v>0</v>
      </c>
    </row>
    <row r="344" spans="1:21" ht="21" customHeight="1">
      <c r="A344" s="756" t="s">
        <v>252</v>
      </c>
      <c r="B344" s="757"/>
      <c r="C344" s="181">
        <f>SUM(C336:C343)</f>
        <v>0</v>
      </c>
      <c r="D344" s="181">
        <f aca="true" t="shared" si="94" ref="D344:J344">SUM(D336:D343)</f>
        <v>0</v>
      </c>
      <c r="E344" s="181">
        <f t="shared" si="94"/>
        <v>0</v>
      </c>
      <c r="F344" s="181">
        <f t="shared" si="94"/>
        <v>0</v>
      </c>
      <c r="G344" s="181">
        <f t="shared" si="94"/>
        <v>0</v>
      </c>
      <c r="H344" s="181">
        <f t="shared" si="94"/>
        <v>0</v>
      </c>
      <c r="I344" s="181">
        <f t="shared" si="94"/>
        <v>0</v>
      </c>
      <c r="J344" s="181">
        <f t="shared" si="94"/>
        <v>0</v>
      </c>
      <c r="K344" s="181">
        <f>SUM(K336:K343)</f>
        <v>0</v>
      </c>
      <c r="L344" s="181">
        <f>SUM(L336:L343)</f>
        <v>0</v>
      </c>
      <c r="M344" s="433">
        <f>SUM(M336:M343)</f>
        <v>0</v>
      </c>
      <c r="N344" s="181">
        <f>SUM(N336:N343)</f>
        <v>0</v>
      </c>
      <c r="O344" s="181">
        <f>SUM(O336:O343)</f>
        <v>0</v>
      </c>
      <c r="P344" s="181"/>
      <c r="Q344" s="181">
        <f>SUM(Q336:Q343)</f>
        <v>0</v>
      </c>
      <c r="R344" s="181">
        <f>SUM(R336:R343)</f>
        <v>0</v>
      </c>
      <c r="S344" s="181">
        <f>SUM(S336:S343)</f>
        <v>0</v>
      </c>
      <c r="T344" s="181">
        <f>SUM(T336:T343)</f>
        <v>21732</v>
      </c>
      <c r="U344" s="181">
        <f>SUM(C344:T344)</f>
        <v>21732</v>
      </c>
    </row>
    <row r="345" spans="1:21" ht="21" customHeight="1">
      <c r="A345" s="758" t="s">
        <v>253</v>
      </c>
      <c r="B345" s="759"/>
      <c r="C345" s="185">
        <f>+C344+C235</f>
        <v>0</v>
      </c>
      <c r="D345" s="185">
        <f aca="true" t="shared" si="95" ref="D345:U345">+D344+D235</f>
        <v>0</v>
      </c>
      <c r="E345" s="185">
        <f t="shared" si="95"/>
        <v>0</v>
      </c>
      <c r="F345" s="185">
        <f t="shared" si="95"/>
        <v>0</v>
      </c>
      <c r="G345" s="185">
        <f t="shared" si="95"/>
        <v>0</v>
      </c>
      <c r="H345" s="185">
        <f t="shared" si="95"/>
        <v>0</v>
      </c>
      <c r="I345" s="185">
        <f t="shared" si="95"/>
        <v>0</v>
      </c>
      <c r="J345" s="185">
        <f t="shared" si="95"/>
        <v>0</v>
      </c>
      <c r="K345" s="185">
        <f t="shared" si="95"/>
        <v>0</v>
      </c>
      <c r="L345" s="185">
        <f t="shared" si="95"/>
        <v>0</v>
      </c>
      <c r="M345" s="185">
        <f t="shared" si="95"/>
        <v>0</v>
      </c>
      <c r="N345" s="185">
        <f t="shared" si="95"/>
        <v>0</v>
      </c>
      <c r="O345" s="185">
        <f t="shared" si="95"/>
        <v>0</v>
      </c>
      <c r="P345" s="185">
        <f t="shared" si="95"/>
        <v>0</v>
      </c>
      <c r="Q345" s="185">
        <f t="shared" si="95"/>
        <v>0</v>
      </c>
      <c r="R345" s="185">
        <f t="shared" si="95"/>
        <v>0</v>
      </c>
      <c r="S345" s="185">
        <f t="shared" si="95"/>
        <v>0</v>
      </c>
      <c r="T345" s="185">
        <f t="shared" si="95"/>
        <v>581719.61</v>
      </c>
      <c r="U345" s="185">
        <f t="shared" si="95"/>
        <v>581719.61</v>
      </c>
    </row>
    <row r="346" spans="1:21" ht="21" customHeight="1">
      <c r="A346" s="771" t="s">
        <v>291</v>
      </c>
      <c r="B346" s="772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434"/>
      <c r="N346" s="186"/>
      <c r="O346" s="186"/>
      <c r="P346" s="186"/>
      <c r="Q346" s="186"/>
      <c r="R346" s="186"/>
      <c r="S346" s="186"/>
      <c r="T346" s="186"/>
      <c r="U346" s="187">
        <f aca="true" t="shared" si="96" ref="U346:U351">SUM(C346:T346)</f>
        <v>0</v>
      </c>
    </row>
    <row r="347" spans="1:21" ht="21" customHeight="1">
      <c r="A347" s="179">
        <v>210100</v>
      </c>
      <c r="B347" s="83" t="s">
        <v>247</v>
      </c>
      <c r="C347" s="91">
        <v>57960</v>
      </c>
      <c r="D347" s="91"/>
      <c r="E347" s="91"/>
      <c r="F347" s="91"/>
      <c r="G347" s="91"/>
      <c r="H347" s="91"/>
      <c r="I347" s="91"/>
      <c r="J347" s="91">
        <v>0</v>
      </c>
      <c r="K347" s="91"/>
      <c r="L347" s="91"/>
      <c r="M347" s="431"/>
      <c r="N347" s="91"/>
      <c r="O347" s="91"/>
      <c r="P347" s="91"/>
      <c r="Q347" s="91"/>
      <c r="R347" s="91"/>
      <c r="S347" s="91"/>
      <c r="T347" s="91"/>
      <c r="U347" s="181">
        <f t="shared" si="96"/>
        <v>57960</v>
      </c>
    </row>
    <row r="348" spans="1:21" ht="21" customHeight="1">
      <c r="A348" s="179">
        <v>210200</v>
      </c>
      <c r="B348" s="83" t="s">
        <v>251</v>
      </c>
      <c r="C348" s="91">
        <v>10000</v>
      </c>
      <c r="D348" s="91"/>
      <c r="E348" s="91"/>
      <c r="F348" s="91"/>
      <c r="G348" s="91"/>
      <c r="H348" s="91"/>
      <c r="I348" s="91"/>
      <c r="J348" s="91"/>
      <c r="K348" s="91"/>
      <c r="L348" s="91"/>
      <c r="M348" s="431"/>
      <c r="N348" s="91"/>
      <c r="O348" s="91"/>
      <c r="P348" s="91"/>
      <c r="Q348" s="91"/>
      <c r="R348" s="91"/>
      <c r="S348" s="91"/>
      <c r="T348" s="91"/>
      <c r="U348" s="181">
        <f t="shared" si="96"/>
        <v>10000</v>
      </c>
    </row>
    <row r="349" spans="1:21" ht="21" customHeight="1">
      <c r="A349" s="179">
        <v>210300</v>
      </c>
      <c r="B349" s="83" t="s">
        <v>248</v>
      </c>
      <c r="C349" s="91">
        <v>10000</v>
      </c>
      <c r="D349" s="91"/>
      <c r="E349" s="91"/>
      <c r="F349" s="91"/>
      <c r="G349" s="91"/>
      <c r="H349" s="91"/>
      <c r="I349" s="91"/>
      <c r="J349" s="91"/>
      <c r="K349" s="91"/>
      <c r="L349" s="91"/>
      <c r="M349" s="431"/>
      <c r="N349" s="91"/>
      <c r="O349" s="91"/>
      <c r="P349" s="91"/>
      <c r="Q349" s="91"/>
      <c r="R349" s="91"/>
      <c r="S349" s="91"/>
      <c r="T349" s="91"/>
      <c r="U349" s="181">
        <f t="shared" si="96"/>
        <v>10000</v>
      </c>
    </row>
    <row r="350" spans="1:21" ht="21" customHeight="1">
      <c r="A350" s="179">
        <v>210400</v>
      </c>
      <c r="B350" s="83" t="s">
        <v>249</v>
      </c>
      <c r="C350" s="91">
        <v>16560</v>
      </c>
      <c r="D350" s="91"/>
      <c r="E350" s="91"/>
      <c r="F350" s="91"/>
      <c r="G350" s="91"/>
      <c r="H350" s="91"/>
      <c r="I350" s="91"/>
      <c r="J350" s="91"/>
      <c r="K350" s="91"/>
      <c r="L350" s="91"/>
      <c r="M350" s="431"/>
      <c r="N350" s="91"/>
      <c r="O350" s="91"/>
      <c r="P350" s="91"/>
      <c r="Q350" s="91"/>
      <c r="R350" s="91"/>
      <c r="S350" s="91"/>
      <c r="T350" s="91"/>
      <c r="U350" s="181">
        <f t="shared" si="96"/>
        <v>16560</v>
      </c>
    </row>
    <row r="351" spans="1:21" ht="21" customHeight="1">
      <c r="A351" s="182">
        <v>210600</v>
      </c>
      <c r="B351" s="84" t="s">
        <v>250</v>
      </c>
      <c r="C351" s="91">
        <v>124200</v>
      </c>
      <c r="D351" s="115"/>
      <c r="E351" s="115"/>
      <c r="F351" s="115"/>
      <c r="G351" s="115"/>
      <c r="H351" s="115"/>
      <c r="I351" s="115"/>
      <c r="J351" s="115"/>
      <c r="K351" s="115"/>
      <c r="L351" s="115"/>
      <c r="M351" s="432"/>
      <c r="N351" s="115"/>
      <c r="O351" s="115"/>
      <c r="P351" s="115"/>
      <c r="Q351" s="115"/>
      <c r="R351" s="115"/>
      <c r="S351" s="115"/>
      <c r="T351" s="115"/>
      <c r="U351" s="184">
        <f t="shared" si="96"/>
        <v>124200</v>
      </c>
    </row>
    <row r="352" spans="1:21" ht="21" customHeight="1">
      <c r="A352" s="756" t="s">
        <v>252</v>
      </c>
      <c r="B352" s="757"/>
      <c r="C352" s="181">
        <f>SUM(C347:C351)</f>
        <v>218720</v>
      </c>
      <c r="D352" s="181">
        <f>SUM(D346:D351)</f>
        <v>0</v>
      </c>
      <c r="E352" s="181">
        <f aca="true" t="shared" si="97" ref="E352:J352">SUM(E346:E351)</f>
        <v>0</v>
      </c>
      <c r="F352" s="181">
        <f t="shared" si="97"/>
        <v>0</v>
      </c>
      <c r="G352" s="181">
        <f t="shared" si="97"/>
        <v>0</v>
      </c>
      <c r="H352" s="181">
        <f t="shared" si="97"/>
        <v>0</v>
      </c>
      <c r="I352" s="181">
        <f t="shared" si="97"/>
        <v>0</v>
      </c>
      <c r="J352" s="181">
        <f t="shared" si="97"/>
        <v>0</v>
      </c>
      <c r="K352" s="181">
        <f>SUM(K346:K351)</f>
        <v>0</v>
      </c>
      <c r="L352" s="181">
        <f>SUM(L346:L351)</f>
        <v>0</v>
      </c>
      <c r="M352" s="433">
        <f>SUM(M346:M351)</f>
        <v>0</v>
      </c>
      <c r="N352" s="181">
        <f>SUM(N346:N351)</f>
        <v>0</v>
      </c>
      <c r="O352" s="181">
        <f>SUM(O346:O351)</f>
        <v>0</v>
      </c>
      <c r="P352" s="181"/>
      <c r="Q352" s="181">
        <f>SUM(Q346:Q351)</f>
        <v>0</v>
      </c>
      <c r="R352" s="181">
        <f>SUM(R346:R351)</f>
        <v>0</v>
      </c>
      <c r="S352" s="181">
        <f>SUM(S346:S351)</f>
        <v>0</v>
      </c>
      <c r="T352" s="181">
        <f>SUM(T346:T351)</f>
        <v>0</v>
      </c>
      <c r="U352" s="181">
        <f>SUM(C352:T352)</f>
        <v>218720</v>
      </c>
    </row>
    <row r="353" spans="1:21" ht="21" customHeight="1">
      <c r="A353" s="758" t="s">
        <v>253</v>
      </c>
      <c r="B353" s="759"/>
      <c r="C353" s="181">
        <f>+C352+C243</f>
        <v>864898</v>
      </c>
      <c r="D353" s="181">
        <f aca="true" t="shared" si="98" ref="D353:U353">+D352+D243</f>
        <v>0</v>
      </c>
      <c r="E353" s="181">
        <f t="shared" si="98"/>
        <v>0</v>
      </c>
      <c r="F353" s="181">
        <f t="shared" si="98"/>
        <v>0</v>
      </c>
      <c r="G353" s="181">
        <f t="shared" si="98"/>
        <v>0</v>
      </c>
      <c r="H353" s="181">
        <f t="shared" si="98"/>
        <v>0</v>
      </c>
      <c r="I353" s="181">
        <f t="shared" si="98"/>
        <v>0</v>
      </c>
      <c r="J353" s="181">
        <f t="shared" si="98"/>
        <v>0</v>
      </c>
      <c r="K353" s="181">
        <f t="shared" si="98"/>
        <v>0</v>
      </c>
      <c r="L353" s="181">
        <f t="shared" si="98"/>
        <v>0</v>
      </c>
      <c r="M353" s="181">
        <f t="shared" si="98"/>
        <v>0</v>
      </c>
      <c r="N353" s="181">
        <f t="shared" si="98"/>
        <v>0</v>
      </c>
      <c r="O353" s="181">
        <f t="shared" si="98"/>
        <v>0</v>
      </c>
      <c r="P353" s="181">
        <f t="shared" si="98"/>
        <v>0</v>
      </c>
      <c r="Q353" s="181">
        <f t="shared" si="98"/>
        <v>0</v>
      </c>
      <c r="R353" s="181">
        <f t="shared" si="98"/>
        <v>0</v>
      </c>
      <c r="S353" s="181">
        <f t="shared" si="98"/>
        <v>0</v>
      </c>
      <c r="T353" s="181">
        <f t="shared" si="98"/>
        <v>0</v>
      </c>
      <c r="U353" s="181">
        <f t="shared" si="98"/>
        <v>864898</v>
      </c>
    </row>
    <row r="354" spans="1:21" ht="21" customHeight="1">
      <c r="A354" s="771" t="s">
        <v>292</v>
      </c>
      <c r="B354" s="772"/>
      <c r="C354" s="186"/>
      <c r="D354" s="186"/>
      <c r="E354" s="186"/>
      <c r="F354" s="186"/>
      <c r="G354" s="186"/>
      <c r="H354" s="186"/>
      <c r="I354" s="186"/>
      <c r="J354" s="186"/>
      <c r="K354" s="186"/>
      <c r="L354" s="186"/>
      <c r="M354" s="434"/>
      <c r="N354" s="186"/>
      <c r="O354" s="186"/>
      <c r="P354" s="186"/>
      <c r="Q354" s="186"/>
      <c r="R354" s="186"/>
      <c r="S354" s="186"/>
      <c r="T354" s="186"/>
      <c r="U354" s="187">
        <f aca="true" t="shared" si="99" ref="U354:U359">SUM(C354:T354)</f>
        <v>0</v>
      </c>
    </row>
    <row r="355" spans="1:21" ht="21" customHeight="1">
      <c r="A355" s="179">
        <v>220100</v>
      </c>
      <c r="B355" s="83" t="s">
        <v>254</v>
      </c>
      <c r="C355" s="91">
        <v>163520</v>
      </c>
      <c r="D355" s="91">
        <v>41020</v>
      </c>
      <c r="E355" s="91"/>
      <c r="F355" s="91"/>
      <c r="G355" s="91"/>
      <c r="H355" s="91"/>
      <c r="I355" s="91"/>
      <c r="J355" s="91">
        <v>30920</v>
      </c>
      <c r="K355" s="91"/>
      <c r="L355" s="91"/>
      <c r="M355" s="431"/>
      <c r="N355" s="91"/>
      <c r="O355" s="91"/>
      <c r="P355" s="91"/>
      <c r="Q355" s="91"/>
      <c r="R355" s="91"/>
      <c r="S355" s="91"/>
      <c r="T355" s="91"/>
      <c r="U355" s="181">
        <f t="shared" si="99"/>
        <v>235460</v>
      </c>
    </row>
    <row r="356" spans="1:21" ht="21" customHeight="1">
      <c r="A356" s="179">
        <v>220200</v>
      </c>
      <c r="B356" s="83" t="s">
        <v>255</v>
      </c>
      <c r="C356" s="91">
        <v>12130</v>
      </c>
      <c r="D356" s="91">
        <v>10517.1</v>
      </c>
      <c r="E356" s="91"/>
      <c r="F356" s="91"/>
      <c r="G356" s="91"/>
      <c r="H356" s="91"/>
      <c r="I356" s="91"/>
      <c r="J356" s="91">
        <v>3985</v>
      </c>
      <c r="K356" s="91"/>
      <c r="L356" s="91"/>
      <c r="M356" s="431"/>
      <c r="N356" s="91"/>
      <c r="O356" s="91"/>
      <c r="P356" s="91"/>
      <c r="Q356" s="91"/>
      <c r="R356" s="91"/>
      <c r="S356" s="91"/>
      <c r="T356" s="91"/>
      <c r="U356" s="181">
        <f t="shared" si="99"/>
        <v>26632.1</v>
      </c>
    </row>
    <row r="357" spans="1:21" ht="21" customHeight="1">
      <c r="A357" s="179">
        <v>220300</v>
      </c>
      <c r="B357" s="83" t="s">
        <v>256</v>
      </c>
      <c r="C357" s="91">
        <v>10500</v>
      </c>
      <c r="D357" s="91">
        <v>2935.48</v>
      </c>
      <c r="E357" s="91"/>
      <c r="F357" s="91"/>
      <c r="G357" s="91"/>
      <c r="H357" s="91"/>
      <c r="I357" s="91"/>
      <c r="J357" s="91"/>
      <c r="K357" s="91"/>
      <c r="L357" s="91"/>
      <c r="M357" s="431"/>
      <c r="N357" s="91"/>
      <c r="O357" s="91"/>
      <c r="P357" s="91"/>
      <c r="Q357" s="91"/>
      <c r="R357" s="91"/>
      <c r="S357" s="91"/>
      <c r="T357" s="91"/>
      <c r="U357" s="181">
        <f t="shared" si="99"/>
        <v>13435.48</v>
      </c>
    </row>
    <row r="358" spans="1:21" ht="21" customHeight="1">
      <c r="A358" s="179">
        <v>220400</v>
      </c>
      <c r="B358" s="83" t="s">
        <v>3</v>
      </c>
      <c r="C358" s="91"/>
      <c r="D358" s="91">
        <v>23730</v>
      </c>
      <c r="E358" s="91"/>
      <c r="F358" s="91"/>
      <c r="G358" s="91"/>
      <c r="H358" s="91"/>
      <c r="I358" s="91"/>
      <c r="J358" s="91"/>
      <c r="K358" s="91"/>
      <c r="L358" s="91"/>
      <c r="M358" s="431"/>
      <c r="N358" s="91"/>
      <c r="O358" s="91"/>
      <c r="P358" s="91"/>
      <c r="Q358" s="91"/>
      <c r="R358" s="91"/>
      <c r="S358" s="91"/>
      <c r="T358" s="91"/>
      <c r="U358" s="181">
        <f t="shared" si="99"/>
        <v>23730</v>
      </c>
    </row>
    <row r="359" spans="1:21" ht="21" customHeight="1">
      <c r="A359" s="179">
        <v>220500</v>
      </c>
      <c r="B359" s="83" t="s">
        <v>257</v>
      </c>
      <c r="C359" s="91"/>
      <c r="D359" s="91">
        <v>3555</v>
      </c>
      <c r="E359" s="91"/>
      <c r="F359" s="91"/>
      <c r="G359" s="91"/>
      <c r="H359" s="91"/>
      <c r="I359" s="91"/>
      <c r="J359" s="91"/>
      <c r="K359" s="91"/>
      <c r="L359" s="91"/>
      <c r="M359" s="431"/>
      <c r="N359" s="91"/>
      <c r="O359" s="91"/>
      <c r="P359" s="91"/>
      <c r="Q359" s="91"/>
      <c r="R359" s="91"/>
      <c r="S359" s="91"/>
      <c r="T359" s="91"/>
      <c r="U359" s="181">
        <f t="shared" si="99"/>
        <v>3555</v>
      </c>
    </row>
    <row r="360" spans="1:21" ht="21" customHeight="1">
      <c r="A360" s="769" t="s">
        <v>216</v>
      </c>
      <c r="B360" s="769"/>
      <c r="C360" s="768" t="s">
        <v>218</v>
      </c>
      <c r="D360" s="768"/>
      <c r="E360" s="496" t="s">
        <v>221</v>
      </c>
      <c r="F360" s="768" t="s">
        <v>223</v>
      </c>
      <c r="G360" s="769"/>
      <c r="H360" s="496" t="s">
        <v>237</v>
      </c>
      <c r="I360" s="496" t="s">
        <v>238</v>
      </c>
      <c r="J360" s="765" t="s">
        <v>239</v>
      </c>
      <c r="K360" s="766"/>
      <c r="L360" s="767"/>
      <c r="M360" s="495" t="s">
        <v>240</v>
      </c>
      <c r="N360" s="765" t="s">
        <v>241</v>
      </c>
      <c r="O360" s="766"/>
      <c r="P360" s="767"/>
      <c r="Q360" s="768" t="s">
        <v>242</v>
      </c>
      <c r="R360" s="769"/>
      <c r="S360" s="496" t="s">
        <v>306</v>
      </c>
      <c r="T360" s="496" t="s">
        <v>243</v>
      </c>
      <c r="U360" s="770" t="s">
        <v>17</v>
      </c>
    </row>
    <row r="361" spans="1:21" ht="21" customHeight="1">
      <c r="A361" s="769" t="s">
        <v>217</v>
      </c>
      <c r="B361" s="769"/>
      <c r="C361" s="496" t="s">
        <v>219</v>
      </c>
      <c r="D361" s="496" t="s">
        <v>220</v>
      </c>
      <c r="E361" s="496" t="s">
        <v>312</v>
      </c>
      <c r="F361" s="496" t="s">
        <v>224</v>
      </c>
      <c r="G361" s="496" t="s">
        <v>225</v>
      </c>
      <c r="H361" s="496" t="s">
        <v>227</v>
      </c>
      <c r="I361" s="496" t="s">
        <v>228</v>
      </c>
      <c r="J361" s="496" t="s">
        <v>229</v>
      </c>
      <c r="K361" s="496" t="s">
        <v>230</v>
      </c>
      <c r="L361" s="496" t="s">
        <v>431</v>
      </c>
      <c r="M361" s="495" t="s">
        <v>231</v>
      </c>
      <c r="N361" s="496" t="s">
        <v>232</v>
      </c>
      <c r="O361" s="496" t="s">
        <v>233</v>
      </c>
      <c r="P361" s="496" t="s">
        <v>314</v>
      </c>
      <c r="Q361" s="496" t="s">
        <v>234</v>
      </c>
      <c r="R361" s="496" t="s">
        <v>235</v>
      </c>
      <c r="S361" s="496" t="s">
        <v>307</v>
      </c>
      <c r="T361" s="496" t="s">
        <v>236</v>
      </c>
      <c r="U361" s="770"/>
    </row>
    <row r="362" spans="1:21" ht="21" customHeight="1">
      <c r="A362" s="179">
        <v>220600</v>
      </c>
      <c r="B362" s="83" t="s">
        <v>258</v>
      </c>
      <c r="C362" s="91">
        <v>80200</v>
      </c>
      <c r="D362" s="91">
        <v>9140</v>
      </c>
      <c r="E362" s="91"/>
      <c r="F362" s="91"/>
      <c r="G362" s="91"/>
      <c r="H362" s="91"/>
      <c r="I362" s="91"/>
      <c r="J362" s="91">
        <v>11870</v>
      </c>
      <c r="K362" s="91"/>
      <c r="L362" s="91"/>
      <c r="M362" s="431"/>
      <c r="N362" s="91"/>
      <c r="O362" s="91"/>
      <c r="P362" s="91"/>
      <c r="Q362" s="91"/>
      <c r="R362" s="91"/>
      <c r="S362" s="91"/>
      <c r="T362" s="91"/>
      <c r="U362" s="181">
        <f>SUM(C362:T362)</f>
        <v>101210</v>
      </c>
    </row>
    <row r="363" spans="1:21" ht="21" customHeight="1">
      <c r="A363" s="182">
        <v>220700</v>
      </c>
      <c r="B363" s="84" t="s">
        <v>259</v>
      </c>
      <c r="C363" s="91">
        <v>45800</v>
      </c>
      <c r="D363" s="115">
        <v>5860</v>
      </c>
      <c r="E363" s="115"/>
      <c r="F363" s="115">
        <v>900</v>
      </c>
      <c r="G363" s="115"/>
      <c r="H363" s="115"/>
      <c r="I363" s="115"/>
      <c r="J363" s="91">
        <v>6130</v>
      </c>
      <c r="K363" s="115"/>
      <c r="L363" s="115"/>
      <c r="M363" s="432"/>
      <c r="N363" s="115"/>
      <c r="O363" s="115"/>
      <c r="P363" s="115"/>
      <c r="Q363" s="115"/>
      <c r="R363" s="115"/>
      <c r="S363" s="115"/>
      <c r="T363" s="115"/>
      <c r="U363" s="184">
        <f>SUM(C363:T363)</f>
        <v>58690</v>
      </c>
    </row>
    <row r="364" spans="1:22" ht="21" customHeight="1">
      <c r="A364" s="756" t="s">
        <v>252</v>
      </c>
      <c r="B364" s="757"/>
      <c r="C364" s="181">
        <f>SUM(C354:C363)</f>
        <v>312150</v>
      </c>
      <c r="D364" s="181">
        <f>SUM(D354:D363)</f>
        <v>96757.58</v>
      </c>
      <c r="E364" s="181">
        <f>SUM(E354:E363)</f>
        <v>0</v>
      </c>
      <c r="F364" s="181">
        <f>SUM(F354:F363)</f>
        <v>900</v>
      </c>
      <c r="G364" s="181">
        <f>SUM(G354:G363)</f>
        <v>0</v>
      </c>
      <c r="H364" s="181">
        <f>SUM(H354:H363)</f>
        <v>0</v>
      </c>
      <c r="I364" s="181">
        <f>SUM(I354:I363)</f>
        <v>0</v>
      </c>
      <c r="J364" s="181">
        <f>SUM(J354:J363)</f>
        <v>52905</v>
      </c>
      <c r="K364" s="181">
        <f>SUM(K354:K363)</f>
        <v>0</v>
      </c>
      <c r="L364" s="181">
        <f>SUM(L354:L363)</f>
        <v>0</v>
      </c>
      <c r="M364" s="433">
        <f>SUM(M354:M363)</f>
        <v>0</v>
      </c>
      <c r="N364" s="181">
        <f>SUM(N354:N363)</f>
        <v>0</v>
      </c>
      <c r="O364" s="181">
        <f>SUM(O354:O363)</f>
        <v>0</v>
      </c>
      <c r="P364" s="181"/>
      <c r="Q364" s="181">
        <f>SUM(Q354:Q363)</f>
        <v>0</v>
      </c>
      <c r="R364" s="181">
        <f>SUM(R354:R363)</f>
        <v>0</v>
      </c>
      <c r="S364" s="181">
        <f>SUM(S354:S363)</f>
        <v>0</v>
      </c>
      <c r="T364" s="181">
        <f>SUM(T354:T363)</f>
        <v>0</v>
      </c>
      <c r="U364" s="181">
        <f>SUM(C364:T364)</f>
        <v>462712.58</v>
      </c>
      <c r="V364" s="177">
        <f>275527.58+27285+159900</f>
        <v>462712.58</v>
      </c>
    </row>
    <row r="365" spans="1:21" ht="21" customHeight="1">
      <c r="A365" s="758" t="s">
        <v>253</v>
      </c>
      <c r="B365" s="759"/>
      <c r="C365" s="185">
        <f>+C364+C255</f>
        <v>1238522.58</v>
      </c>
      <c r="D365" s="185">
        <f aca="true" t="shared" si="100" ref="D365:U365">+D364+D255</f>
        <v>376462.58</v>
      </c>
      <c r="E365" s="185">
        <f t="shared" si="100"/>
        <v>0</v>
      </c>
      <c r="F365" s="185">
        <f t="shared" si="100"/>
        <v>3600</v>
      </c>
      <c r="G365" s="185">
        <f t="shared" si="100"/>
        <v>0</v>
      </c>
      <c r="H365" s="185">
        <f t="shared" si="100"/>
        <v>0</v>
      </c>
      <c r="I365" s="185">
        <f t="shared" si="100"/>
        <v>0</v>
      </c>
      <c r="J365" s="185">
        <f t="shared" si="100"/>
        <v>220620</v>
      </c>
      <c r="K365" s="185">
        <f t="shared" si="100"/>
        <v>0</v>
      </c>
      <c r="L365" s="185">
        <f t="shared" si="100"/>
        <v>0</v>
      </c>
      <c r="M365" s="185">
        <f t="shared" si="100"/>
        <v>0</v>
      </c>
      <c r="N365" s="185">
        <f t="shared" si="100"/>
        <v>0</v>
      </c>
      <c r="O365" s="185">
        <f t="shared" si="100"/>
        <v>0</v>
      </c>
      <c r="P365" s="185">
        <f t="shared" si="100"/>
        <v>0</v>
      </c>
      <c r="Q365" s="185">
        <f t="shared" si="100"/>
        <v>0</v>
      </c>
      <c r="R365" s="185">
        <f t="shared" si="100"/>
        <v>0</v>
      </c>
      <c r="S365" s="185">
        <f t="shared" si="100"/>
        <v>0</v>
      </c>
      <c r="T365" s="185">
        <f t="shared" si="100"/>
        <v>0</v>
      </c>
      <c r="U365" s="185">
        <f t="shared" si="100"/>
        <v>1839205.1600000001</v>
      </c>
    </row>
    <row r="366" spans="1:21" ht="21" customHeight="1">
      <c r="A366" s="771" t="s">
        <v>293</v>
      </c>
      <c r="B366" s="772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M366" s="434"/>
      <c r="N366" s="186"/>
      <c r="O366" s="186"/>
      <c r="P366" s="186"/>
      <c r="Q366" s="186"/>
      <c r="R366" s="186"/>
      <c r="S366" s="186"/>
      <c r="T366" s="186"/>
      <c r="U366" s="187">
        <f aca="true" t="shared" si="101" ref="U366:U372">SUM(C366:T366)</f>
        <v>0</v>
      </c>
    </row>
    <row r="367" spans="1:21" ht="21" customHeight="1">
      <c r="A367" s="179">
        <v>310100</v>
      </c>
      <c r="B367" s="83" t="s">
        <v>260</v>
      </c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431"/>
      <c r="N367" s="91"/>
      <c r="O367" s="91"/>
      <c r="P367" s="91"/>
      <c r="Q367" s="91"/>
      <c r="R367" s="91"/>
      <c r="S367" s="91"/>
      <c r="T367" s="91"/>
      <c r="U367" s="181">
        <f t="shared" si="101"/>
        <v>0</v>
      </c>
    </row>
    <row r="368" spans="1:21" ht="21" customHeight="1">
      <c r="A368" s="179">
        <v>310200</v>
      </c>
      <c r="B368" s="83" t="s">
        <v>261</v>
      </c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431"/>
      <c r="N368" s="91"/>
      <c r="O368" s="91"/>
      <c r="P368" s="91"/>
      <c r="Q368" s="91"/>
      <c r="R368" s="91"/>
      <c r="S368" s="91"/>
      <c r="T368" s="91"/>
      <c r="U368" s="181">
        <f t="shared" si="101"/>
        <v>0</v>
      </c>
    </row>
    <row r="369" spans="1:21" ht="21" customHeight="1">
      <c r="A369" s="179">
        <v>310300</v>
      </c>
      <c r="B369" s="83" t="s">
        <v>262</v>
      </c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431"/>
      <c r="N369" s="91"/>
      <c r="O369" s="91"/>
      <c r="P369" s="91"/>
      <c r="Q369" s="91"/>
      <c r="R369" s="91"/>
      <c r="S369" s="91"/>
      <c r="T369" s="91"/>
      <c r="U369" s="181">
        <f t="shared" si="101"/>
        <v>0</v>
      </c>
    </row>
    <row r="370" spans="1:21" ht="21" customHeight="1">
      <c r="A370" s="179">
        <v>310400</v>
      </c>
      <c r="B370" s="83" t="s">
        <v>263</v>
      </c>
      <c r="C370" s="91">
        <v>16500</v>
      </c>
      <c r="D370" s="91">
        <v>3200</v>
      </c>
      <c r="E370" s="91"/>
      <c r="F370" s="91"/>
      <c r="G370" s="91"/>
      <c r="H370" s="91"/>
      <c r="I370" s="91"/>
      <c r="J370" s="91">
        <v>1600</v>
      </c>
      <c r="K370" s="91"/>
      <c r="L370" s="91"/>
      <c r="M370" s="431"/>
      <c r="N370" s="91"/>
      <c r="O370" s="91"/>
      <c r="P370" s="91"/>
      <c r="Q370" s="91"/>
      <c r="R370" s="91"/>
      <c r="S370" s="91"/>
      <c r="T370" s="91"/>
      <c r="U370" s="181">
        <f t="shared" si="101"/>
        <v>21300</v>
      </c>
    </row>
    <row r="371" spans="1:21" ht="21" customHeight="1">
      <c r="A371" s="179">
        <v>310500</v>
      </c>
      <c r="B371" s="83" t="s">
        <v>264</v>
      </c>
      <c r="C371" s="91">
        <f>8320+2830</f>
        <v>11150</v>
      </c>
      <c r="D371" s="91"/>
      <c r="E371" s="91"/>
      <c r="F371" s="91"/>
      <c r="G371" s="91"/>
      <c r="H371" s="91"/>
      <c r="I371" s="91"/>
      <c r="J371" s="91"/>
      <c r="K371" s="91"/>
      <c r="L371" s="91"/>
      <c r="M371" s="431"/>
      <c r="N371" s="91"/>
      <c r="O371" s="91"/>
      <c r="P371" s="91"/>
      <c r="Q371" s="91"/>
      <c r="R371" s="91"/>
      <c r="S371" s="91"/>
      <c r="T371" s="91"/>
      <c r="U371" s="181">
        <f t="shared" si="101"/>
        <v>11150</v>
      </c>
    </row>
    <row r="372" spans="1:21" ht="21" customHeight="1">
      <c r="A372" s="182">
        <v>310600</v>
      </c>
      <c r="B372" s="84" t="s">
        <v>265</v>
      </c>
      <c r="C372" s="91"/>
      <c r="D372" s="91">
        <v>490</v>
      </c>
      <c r="E372" s="115"/>
      <c r="F372" s="115"/>
      <c r="G372" s="115"/>
      <c r="H372" s="115"/>
      <c r="I372" s="115"/>
      <c r="J372" s="115"/>
      <c r="K372" s="115"/>
      <c r="L372" s="115"/>
      <c r="M372" s="432"/>
      <c r="N372" s="115"/>
      <c r="O372" s="115"/>
      <c r="P372" s="115"/>
      <c r="Q372" s="115"/>
      <c r="R372" s="115"/>
      <c r="S372" s="115"/>
      <c r="T372" s="115"/>
      <c r="U372" s="184">
        <f t="shared" si="101"/>
        <v>490</v>
      </c>
    </row>
    <row r="373" spans="1:21" ht="21" customHeight="1">
      <c r="A373" s="756" t="s">
        <v>252</v>
      </c>
      <c r="B373" s="757"/>
      <c r="C373" s="181">
        <f>SUM(C367:C372)</f>
        <v>27650</v>
      </c>
      <c r="D373" s="181">
        <f aca="true" t="shared" si="102" ref="D373:T373">SUM(D367:D372)</f>
        <v>3690</v>
      </c>
      <c r="E373" s="181">
        <f t="shared" si="102"/>
        <v>0</v>
      </c>
      <c r="F373" s="181">
        <f t="shared" si="102"/>
        <v>0</v>
      </c>
      <c r="G373" s="181">
        <f t="shared" si="102"/>
        <v>0</v>
      </c>
      <c r="H373" s="181">
        <f t="shared" si="102"/>
        <v>0</v>
      </c>
      <c r="I373" s="181">
        <f t="shared" si="102"/>
        <v>0</v>
      </c>
      <c r="J373" s="181">
        <f t="shared" si="102"/>
        <v>1600</v>
      </c>
      <c r="K373" s="181">
        <f t="shared" si="102"/>
        <v>0</v>
      </c>
      <c r="L373" s="181">
        <f t="shared" si="102"/>
        <v>0</v>
      </c>
      <c r="M373" s="181">
        <f t="shared" si="102"/>
        <v>0</v>
      </c>
      <c r="N373" s="181">
        <f t="shared" si="102"/>
        <v>0</v>
      </c>
      <c r="O373" s="181">
        <f t="shared" si="102"/>
        <v>0</v>
      </c>
      <c r="P373" s="181">
        <f t="shared" si="102"/>
        <v>0</v>
      </c>
      <c r="Q373" s="181">
        <f t="shared" si="102"/>
        <v>0</v>
      </c>
      <c r="R373" s="181">
        <f t="shared" si="102"/>
        <v>0</v>
      </c>
      <c r="S373" s="181">
        <f t="shared" si="102"/>
        <v>0</v>
      </c>
      <c r="T373" s="181">
        <f t="shared" si="102"/>
        <v>0</v>
      </c>
      <c r="U373" s="181">
        <f>SUM(C373:T373)</f>
        <v>32940</v>
      </c>
    </row>
    <row r="374" spans="1:21" ht="21" customHeight="1">
      <c r="A374" s="758" t="s">
        <v>253</v>
      </c>
      <c r="B374" s="759"/>
      <c r="C374" s="185">
        <f>+C373+C264</f>
        <v>84560</v>
      </c>
      <c r="D374" s="185">
        <f aca="true" t="shared" si="103" ref="D374:U374">+D373+D264</f>
        <v>29615</v>
      </c>
      <c r="E374" s="185">
        <f t="shared" si="103"/>
        <v>0</v>
      </c>
      <c r="F374" s="185">
        <f t="shared" si="103"/>
        <v>0</v>
      </c>
      <c r="G374" s="185">
        <f t="shared" si="103"/>
        <v>0</v>
      </c>
      <c r="H374" s="185">
        <f t="shared" si="103"/>
        <v>0</v>
      </c>
      <c r="I374" s="185">
        <f t="shared" si="103"/>
        <v>0</v>
      </c>
      <c r="J374" s="185">
        <f t="shared" si="103"/>
        <v>4800</v>
      </c>
      <c r="K374" s="185">
        <f t="shared" si="103"/>
        <v>0</v>
      </c>
      <c r="L374" s="185">
        <f t="shared" si="103"/>
        <v>0</v>
      </c>
      <c r="M374" s="185">
        <f t="shared" si="103"/>
        <v>0</v>
      </c>
      <c r="N374" s="185">
        <f t="shared" si="103"/>
        <v>0</v>
      </c>
      <c r="O374" s="185">
        <f t="shared" si="103"/>
        <v>0</v>
      </c>
      <c r="P374" s="185">
        <f t="shared" si="103"/>
        <v>0</v>
      </c>
      <c r="Q374" s="185">
        <f t="shared" si="103"/>
        <v>0</v>
      </c>
      <c r="R374" s="185">
        <f t="shared" si="103"/>
        <v>0</v>
      </c>
      <c r="S374" s="185">
        <f t="shared" si="103"/>
        <v>0</v>
      </c>
      <c r="T374" s="185">
        <f t="shared" si="103"/>
        <v>0</v>
      </c>
      <c r="U374" s="185">
        <f t="shared" si="103"/>
        <v>118975</v>
      </c>
    </row>
    <row r="375" spans="1:21" ht="21" customHeight="1">
      <c r="A375" s="771" t="s">
        <v>294</v>
      </c>
      <c r="B375" s="772"/>
      <c r="C375" s="186"/>
      <c r="D375" s="186"/>
      <c r="E375" s="186"/>
      <c r="F375" s="186"/>
      <c r="G375" s="186"/>
      <c r="H375" s="186"/>
      <c r="I375" s="186"/>
      <c r="J375" s="186"/>
      <c r="K375" s="186"/>
      <c r="L375" s="186"/>
      <c r="M375" s="434"/>
      <c r="N375" s="186"/>
      <c r="O375" s="186"/>
      <c r="P375" s="186"/>
      <c r="Q375" s="186"/>
      <c r="R375" s="186"/>
      <c r="S375" s="186"/>
      <c r="T375" s="186"/>
      <c r="U375" s="187">
        <f>SUM(C375:T375)</f>
        <v>0</v>
      </c>
    </row>
    <row r="376" spans="1:21" ht="21" customHeight="1">
      <c r="A376" s="179">
        <v>320100</v>
      </c>
      <c r="B376" s="83" t="s">
        <v>266</v>
      </c>
      <c r="C376" s="91">
        <f>4500+4500+4500+7000+7000+18000+3300+4300+76500+750</f>
        <v>130350</v>
      </c>
      <c r="D376" s="91">
        <f>4200+13200</f>
        <v>17400</v>
      </c>
      <c r="E376" s="91"/>
      <c r="F376" s="91"/>
      <c r="G376" s="91"/>
      <c r="H376" s="91">
        <v>7000</v>
      </c>
      <c r="I376" s="91"/>
      <c r="J376" s="110"/>
      <c r="K376" s="91"/>
      <c r="L376" s="91">
        <f>7000+7000+7000+7000+7903.75</f>
        <v>35903.75</v>
      </c>
      <c r="M376" s="431">
        <v>4030</v>
      </c>
      <c r="N376" s="91"/>
      <c r="O376" s="91"/>
      <c r="P376" s="91"/>
      <c r="Q376" s="91"/>
      <c r="R376" s="91"/>
      <c r="S376" s="91">
        <v>8000</v>
      </c>
      <c r="T376" s="91"/>
      <c r="U376" s="181">
        <f>SUM(C376:T376)</f>
        <v>202683.75</v>
      </c>
    </row>
    <row r="377" spans="1:21" ht="21" customHeight="1">
      <c r="A377" s="179">
        <v>320200</v>
      </c>
      <c r="B377" s="83" t="s">
        <v>267</v>
      </c>
      <c r="C377" s="91">
        <v>4000</v>
      </c>
      <c r="D377" s="91"/>
      <c r="E377" s="91"/>
      <c r="F377" s="91"/>
      <c r="G377" s="91"/>
      <c r="H377" s="91"/>
      <c r="I377" s="91"/>
      <c r="J377" s="91"/>
      <c r="K377" s="91"/>
      <c r="L377" s="91"/>
      <c r="M377" s="431"/>
      <c r="N377" s="91"/>
      <c r="O377" s="91"/>
      <c r="P377" s="91"/>
      <c r="Q377" s="91"/>
      <c r="R377" s="91"/>
      <c r="S377" s="91"/>
      <c r="T377" s="91"/>
      <c r="U377" s="181">
        <f>SUM(C377:T377)</f>
        <v>4000</v>
      </c>
    </row>
    <row r="378" spans="1:21" ht="21" customHeight="1">
      <c r="A378" s="179">
        <v>320300</v>
      </c>
      <c r="B378" s="83" t="s">
        <v>268</v>
      </c>
      <c r="C378" s="91">
        <f>15680+2700+3080+6090</f>
        <v>27550</v>
      </c>
      <c r="D378" s="91">
        <v>1120</v>
      </c>
      <c r="E378" s="91">
        <f>1800+1500+9940</f>
        <v>13240</v>
      </c>
      <c r="F378" s="91">
        <v>2700</v>
      </c>
      <c r="G378" s="91">
        <f>94800+136800</f>
        <v>231600</v>
      </c>
      <c r="H378" s="91"/>
      <c r="I378" s="91"/>
      <c r="J378" s="91"/>
      <c r="K378" s="91"/>
      <c r="L378" s="91"/>
      <c r="M378" s="431"/>
      <c r="N378" s="91"/>
      <c r="O378" s="91">
        <f>40000+98400+3000+3000</f>
        <v>144400</v>
      </c>
      <c r="P378" s="91"/>
      <c r="Q378" s="91"/>
      <c r="R378" s="91"/>
      <c r="S378" s="91"/>
      <c r="T378" s="91"/>
      <c r="U378" s="181">
        <f>SUM(C378:T378)</f>
        <v>420610</v>
      </c>
    </row>
    <row r="379" spans="1:21" ht="21" customHeight="1">
      <c r="A379" s="182">
        <v>320400</v>
      </c>
      <c r="B379" s="84" t="s">
        <v>269</v>
      </c>
      <c r="C379" s="115">
        <v>3150</v>
      </c>
      <c r="D379" s="115"/>
      <c r="E379" s="115"/>
      <c r="F379" s="115"/>
      <c r="G379" s="115"/>
      <c r="H379" s="115"/>
      <c r="I379" s="115"/>
      <c r="J379" s="319"/>
      <c r="K379" s="115"/>
      <c r="L379" s="115"/>
      <c r="M379" s="432"/>
      <c r="N379" s="115"/>
      <c r="O379" s="115"/>
      <c r="P379" s="115"/>
      <c r="Q379" s="115"/>
      <c r="R379" s="115"/>
      <c r="S379" s="115"/>
      <c r="T379" s="115"/>
      <c r="U379" s="181">
        <f>SUM(C379:T379)</f>
        <v>3150</v>
      </c>
    </row>
    <row r="380" spans="1:22" ht="21" customHeight="1">
      <c r="A380" s="756" t="s">
        <v>252</v>
      </c>
      <c r="B380" s="757"/>
      <c r="C380" s="181">
        <f>SUM(C376:C379)</f>
        <v>165050</v>
      </c>
      <c r="D380" s="181">
        <f>SUM(D376:D379)</f>
        <v>18520</v>
      </c>
      <c r="E380" s="181">
        <f aca="true" t="shared" si="104" ref="E380:T380">SUM(E376:E379)</f>
        <v>13240</v>
      </c>
      <c r="F380" s="181">
        <f t="shared" si="104"/>
        <v>2700</v>
      </c>
      <c r="G380" s="181">
        <f t="shared" si="104"/>
        <v>231600</v>
      </c>
      <c r="H380" s="181">
        <f t="shared" si="104"/>
        <v>7000</v>
      </c>
      <c r="I380" s="181">
        <f t="shared" si="104"/>
        <v>0</v>
      </c>
      <c r="J380" s="181">
        <f t="shared" si="104"/>
        <v>0</v>
      </c>
      <c r="K380" s="181">
        <f t="shared" si="104"/>
        <v>0</v>
      </c>
      <c r="L380" s="181">
        <f t="shared" si="104"/>
        <v>35903.75</v>
      </c>
      <c r="M380" s="433">
        <f t="shared" si="104"/>
        <v>4030</v>
      </c>
      <c r="N380" s="181">
        <f t="shared" si="104"/>
        <v>0</v>
      </c>
      <c r="O380" s="181">
        <f t="shared" si="104"/>
        <v>144400</v>
      </c>
      <c r="P380" s="181">
        <f t="shared" si="104"/>
        <v>0</v>
      </c>
      <c r="Q380" s="181">
        <f t="shared" si="104"/>
        <v>0</v>
      </c>
      <c r="R380" s="181">
        <f t="shared" si="104"/>
        <v>0</v>
      </c>
      <c r="S380" s="181">
        <f t="shared" si="104"/>
        <v>8000</v>
      </c>
      <c r="T380" s="181">
        <f t="shared" si="104"/>
        <v>0</v>
      </c>
      <c r="U380" s="181">
        <f>SUM(C380:T380)</f>
        <v>630443.75</v>
      </c>
      <c r="V380" s="177">
        <f>616483.75+13960</f>
        <v>630443.75</v>
      </c>
    </row>
    <row r="381" spans="1:21" ht="21" customHeight="1">
      <c r="A381" s="758" t="s">
        <v>253</v>
      </c>
      <c r="B381" s="759"/>
      <c r="C381" s="185">
        <f>+C380+C271</f>
        <v>588726.65</v>
      </c>
      <c r="D381" s="185">
        <f aca="true" t="shared" si="105" ref="D381:U381">+D380+D271</f>
        <v>36224</v>
      </c>
      <c r="E381" s="185">
        <f t="shared" si="105"/>
        <v>13240</v>
      </c>
      <c r="F381" s="185">
        <f t="shared" si="105"/>
        <v>34560</v>
      </c>
      <c r="G381" s="185">
        <f t="shared" si="105"/>
        <v>523200</v>
      </c>
      <c r="H381" s="185">
        <f t="shared" si="105"/>
        <v>14000</v>
      </c>
      <c r="I381" s="185">
        <f t="shared" si="105"/>
        <v>0</v>
      </c>
      <c r="J381" s="185">
        <f t="shared" si="105"/>
        <v>3250</v>
      </c>
      <c r="K381" s="185">
        <f t="shared" si="105"/>
        <v>0</v>
      </c>
      <c r="L381" s="185">
        <f t="shared" si="105"/>
        <v>126981.25</v>
      </c>
      <c r="M381" s="185">
        <f t="shared" si="105"/>
        <v>96135</v>
      </c>
      <c r="N381" s="185">
        <f t="shared" si="105"/>
        <v>10000</v>
      </c>
      <c r="O381" s="185">
        <f t="shared" si="105"/>
        <v>163890</v>
      </c>
      <c r="P381" s="185">
        <f t="shared" si="105"/>
        <v>0</v>
      </c>
      <c r="Q381" s="185">
        <f t="shared" si="105"/>
        <v>0</v>
      </c>
      <c r="R381" s="185">
        <f t="shared" si="105"/>
        <v>0</v>
      </c>
      <c r="S381" s="185">
        <f t="shared" si="105"/>
        <v>24000</v>
      </c>
      <c r="T381" s="185">
        <f t="shared" si="105"/>
        <v>0</v>
      </c>
      <c r="U381" s="185">
        <f t="shared" si="105"/>
        <v>1634206.9</v>
      </c>
    </row>
    <row r="382" spans="1:21" ht="21" customHeight="1">
      <c r="A382" s="771" t="s">
        <v>295</v>
      </c>
      <c r="B382" s="772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434"/>
      <c r="N382" s="186"/>
      <c r="O382" s="186"/>
      <c r="P382" s="186"/>
      <c r="Q382" s="186"/>
      <c r="R382" s="186"/>
      <c r="S382" s="186"/>
      <c r="T382" s="186"/>
      <c r="U382" s="187">
        <f aca="true" t="shared" si="106" ref="U382:U387">SUM(C382:T382)</f>
        <v>0</v>
      </c>
    </row>
    <row r="383" spans="1:21" ht="21" customHeight="1">
      <c r="A383" s="179">
        <v>330100</v>
      </c>
      <c r="B383" s="83" t="s">
        <v>270</v>
      </c>
      <c r="C383" s="91">
        <f>22185+19539</f>
        <v>41724</v>
      </c>
      <c r="D383" s="91">
        <v>12398</v>
      </c>
      <c r="E383" s="91"/>
      <c r="F383" s="91"/>
      <c r="G383" s="91"/>
      <c r="H383" s="91"/>
      <c r="I383" s="91"/>
      <c r="J383" s="91"/>
      <c r="K383" s="91"/>
      <c r="L383" s="91"/>
      <c r="M383" s="431"/>
      <c r="N383" s="91"/>
      <c r="O383" s="91"/>
      <c r="P383" s="91"/>
      <c r="Q383" s="91"/>
      <c r="R383" s="91"/>
      <c r="S383" s="91"/>
      <c r="T383" s="91"/>
      <c r="U383" s="181">
        <f t="shared" si="106"/>
        <v>54122</v>
      </c>
    </row>
    <row r="384" spans="1:21" ht="21" customHeight="1">
      <c r="A384" s="179">
        <v>330200</v>
      </c>
      <c r="B384" s="83" t="s">
        <v>271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431"/>
      <c r="N384" s="91"/>
      <c r="O384" s="91"/>
      <c r="P384" s="91"/>
      <c r="Q384" s="91"/>
      <c r="R384" s="91"/>
      <c r="S384" s="91"/>
      <c r="T384" s="91"/>
      <c r="U384" s="181">
        <f t="shared" si="106"/>
        <v>0</v>
      </c>
    </row>
    <row r="385" spans="1:21" ht="21" customHeight="1">
      <c r="A385" s="179">
        <v>330300</v>
      </c>
      <c r="B385" s="83" t="s">
        <v>406</v>
      </c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431"/>
      <c r="N385" s="91"/>
      <c r="O385" s="91"/>
      <c r="P385" s="91"/>
      <c r="Q385" s="91"/>
      <c r="R385" s="91"/>
      <c r="S385" s="91"/>
      <c r="T385" s="91"/>
      <c r="U385" s="181">
        <f t="shared" si="106"/>
        <v>0</v>
      </c>
    </row>
    <row r="386" spans="1:21" ht="21" customHeight="1">
      <c r="A386" s="179">
        <v>330400</v>
      </c>
      <c r="B386" s="83" t="s">
        <v>296</v>
      </c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431"/>
      <c r="N386" s="91"/>
      <c r="O386" s="91"/>
      <c r="P386" s="91"/>
      <c r="Q386" s="91"/>
      <c r="R386" s="91"/>
      <c r="S386" s="91"/>
      <c r="T386" s="91"/>
      <c r="U386" s="181">
        <f t="shared" si="106"/>
        <v>0</v>
      </c>
    </row>
    <row r="387" spans="1:21" ht="21" customHeight="1">
      <c r="A387" s="179">
        <v>330600</v>
      </c>
      <c r="B387" s="83" t="s">
        <v>272</v>
      </c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431"/>
      <c r="N387" s="91"/>
      <c r="O387" s="91"/>
      <c r="P387" s="91"/>
      <c r="Q387" s="91"/>
      <c r="R387" s="91"/>
      <c r="S387" s="91"/>
      <c r="T387" s="91"/>
      <c r="U387" s="181">
        <f t="shared" si="106"/>
        <v>0</v>
      </c>
    </row>
    <row r="388" spans="1:21" ht="21" customHeight="1">
      <c r="A388" s="179">
        <v>330800</v>
      </c>
      <c r="B388" s="83" t="s">
        <v>273</v>
      </c>
      <c r="C388" s="91">
        <v>37950</v>
      </c>
      <c r="D388" s="91"/>
      <c r="E388" s="91"/>
      <c r="F388" s="91"/>
      <c r="G388" s="91"/>
      <c r="H388" s="91">
        <v>15900</v>
      </c>
      <c r="I388" s="91"/>
      <c r="J388" s="91"/>
      <c r="K388" s="91"/>
      <c r="L388" s="91">
        <v>31500</v>
      </c>
      <c r="M388" s="431"/>
      <c r="N388" s="91"/>
      <c r="O388" s="91"/>
      <c r="P388" s="91"/>
      <c r="Q388" s="91"/>
      <c r="R388" s="91"/>
      <c r="S388" s="91"/>
      <c r="T388" s="91"/>
      <c r="U388" s="181">
        <f>SUM(C388:T388)</f>
        <v>85350</v>
      </c>
    </row>
    <row r="389" spans="1:21" ht="21" customHeight="1">
      <c r="A389" s="179">
        <v>330900</v>
      </c>
      <c r="B389" s="83" t="s">
        <v>275</v>
      </c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431"/>
      <c r="N389" s="91"/>
      <c r="O389" s="91"/>
      <c r="P389" s="91"/>
      <c r="Q389" s="91"/>
      <c r="R389" s="91"/>
      <c r="S389" s="91"/>
      <c r="T389" s="91"/>
      <c r="U389" s="181">
        <f>SUM(C389:T389)</f>
        <v>0</v>
      </c>
    </row>
    <row r="390" spans="1:21" ht="21" customHeight="1">
      <c r="A390" s="769" t="s">
        <v>216</v>
      </c>
      <c r="B390" s="769"/>
      <c r="C390" s="768" t="s">
        <v>218</v>
      </c>
      <c r="D390" s="768"/>
      <c r="E390" s="496" t="s">
        <v>221</v>
      </c>
      <c r="F390" s="768" t="s">
        <v>223</v>
      </c>
      <c r="G390" s="769"/>
      <c r="H390" s="496" t="s">
        <v>237</v>
      </c>
      <c r="I390" s="496" t="s">
        <v>238</v>
      </c>
      <c r="J390" s="765" t="s">
        <v>239</v>
      </c>
      <c r="K390" s="766"/>
      <c r="L390" s="767"/>
      <c r="M390" s="495" t="s">
        <v>240</v>
      </c>
      <c r="N390" s="765" t="s">
        <v>241</v>
      </c>
      <c r="O390" s="766"/>
      <c r="P390" s="767"/>
      <c r="Q390" s="768" t="s">
        <v>242</v>
      </c>
      <c r="R390" s="769"/>
      <c r="S390" s="496" t="s">
        <v>306</v>
      </c>
      <c r="T390" s="496" t="s">
        <v>243</v>
      </c>
      <c r="U390" s="770" t="s">
        <v>17</v>
      </c>
    </row>
    <row r="391" spans="1:21" ht="21" customHeight="1">
      <c r="A391" s="769" t="s">
        <v>217</v>
      </c>
      <c r="B391" s="769"/>
      <c r="C391" s="496" t="s">
        <v>219</v>
      </c>
      <c r="D391" s="496" t="s">
        <v>220</v>
      </c>
      <c r="E391" s="496" t="s">
        <v>312</v>
      </c>
      <c r="F391" s="496" t="s">
        <v>224</v>
      </c>
      <c r="G391" s="496" t="s">
        <v>225</v>
      </c>
      <c r="H391" s="496" t="s">
        <v>227</v>
      </c>
      <c r="I391" s="496" t="s">
        <v>228</v>
      </c>
      <c r="J391" s="496" t="s">
        <v>229</v>
      </c>
      <c r="K391" s="496" t="s">
        <v>230</v>
      </c>
      <c r="L391" s="496" t="s">
        <v>431</v>
      </c>
      <c r="M391" s="495" t="s">
        <v>231</v>
      </c>
      <c r="N391" s="496" t="s">
        <v>232</v>
      </c>
      <c r="O391" s="496" t="s">
        <v>233</v>
      </c>
      <c r="P391" s="496" t="s">
        <v>314</v>
      </c>
      <c r="Q391" s="496" t="s">
        <v>234</v>
      </c>
      <c r="R391" s="496" t="s">
        <v>235</v>
      </c>
      <c r="S391" s="496" t="s">
        <v>307</v>
      </c>
      <c r="T391" s="496" t="s">
        <v>236</v>
      </c>
      <c r="U391" s="770"/>
    </row>
    <row r="392" spans="1:21" ht="21" customHeight="1">
      <c r="A392" s="179">
        <v>331200</v>
      </c>
      <c r="B392" s="83" t="s">
        <v>276</v>
      </c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431"/>
      <c r="N392" s="91"/>
      <c r="O392" s="91"/>
      <c r="P392" s="91"/>
      <c r="Q392" s="91"/>
      <c r="R392" s="91"/>
      <c r="S392" s="91"/>
      <c r="T392" s="91"/>
      <c r="U392" s="181">
        <f aca="true" t="shared" si="107" ref="U392:U397">SUM(C392:T392)</f>
        <v>0</v>
      </c>
    </row>
    <row r="393" spans="1:21" ht="21" customHeight="1">
      <c r="A393" s="179">
        <v>331300</v>
      </c>
      <c r="B393" s="83" t="s">
        <v>277</v>
      </c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431"/>
      <c r="N393" s="91"/>
      <c r="O393" s="91"/>
      <c r="P393" s="91"/>
      <c r="Q393" s="91"/>
      <c r="R393" s="91"/>
      <c r="S393" s="91"/>
      <c r="T393" s="91"/>
      <c r="U393" s="181">
        <f t="shared" si="107"/>
        <v>0</v>
      </c>
    </row>
    <row r="394" spans="1:21" ht="21" customHeight="1">
      <c r="A394" s="179">
        <v>331400</v>
      </c>
      <c r="B394" s="83" t="s">
        <v>274</v>
      </c>
      <c r="C394" s="91">
        <v>4400</v>
      </c>
      <c r="D394" s="91"/>
      <c r="E394" s="91"/>
      <c r="F394" s="91"/>
      <c r="G394" s="91"/>
      <c r="H394" s="91"/>
      <c r="I394" s="91"/>
      <c r="J394" s="91"/>
      <c r="K394" s="91"/>
      <c r="L394" s="91"/>
      <c r="M394" s="431"/>
      <c r="N394" s="91"/>
      <c r="O394" s="91"/>
      <c r="P394" s="91"/>
      <c r="Q394" s="91"/>
      <c r="R394" s="91"/>
      <c r="S394" s="91"/>
      <c r="T394" s="91"/>
      <c r="U394" s="181">
        <f t="shared" si="107"/>
        <v>4400</v>
      </c>
    </row>
    <row r="395" spans="1:21" ht="21" customHeight="1">
      <c r="A395" s="179">
        <v>331500</v>
      </c>
      <c r="B395" s="83" t="s">
        <v>278</v>
      </c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431"/>
      <c r="N395" s="91"/>
      <c r="O395" s="91"/>
      <c r="P395" s="91"/>
      <c r="Q395" s="91"/>
      <c r="R395" s="91"/>
      <c r="S395" s="91"/>
      <c r="T395" s="91"/>
      <c r="U395" s="181">
        <f t="shared" si="107"/>
        <v>0</v>
      </c>
    </row>
    <row r="396" spans="1:21" ht="21" customHeight="1">
      <c r="A396" s="182">
        <v>331700</v>
      </c>
      <c r="B396" s="84" t="s">
        <v>279</v>
      </c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432"/>
      <c r="N396" s="115"/>
      <c r="O396" s="115"/>
      <c r="P396" s="115"/>
      <c r="Q396" s="115"/>
      <c r="R396" s="115"/>
      <c r="S396" s="115"/>
      <c r="T396" s="115"/>
      <c r="U396" s="181">
        <f t="shared" si="107"/>
        <v>0</v>
      </c>
    </row>
    <row r="397" spans="1:21" ht="21" customHeight="1">
      <c r="A397" s="756" t="s">
        <v>252</v>
      </c>
      <c r="B397" s="757"/>
      <c r="C397" s="181">
        <f>SUM(C383:C396)</f>
        <v>84074</v>
      </c>
      <c r="D397" s="181">
        <f aca="true" t="shared" si="108" ref="D397:M397">SUM(D383:D396)</f>
        <v>12398</v>
      </c>
      <c r="E397" s="181">
        <f t="shared" si="108"/>
        <v>0</v>
      </c>
      <c r="F397" s="181">
        <f t="shared" si="108"/>
        <v>0</v>
      </c>
      <c r="G397" s="181">
        <f t="shared" si="108"/>
        <v>0</v>
      </c>
      <c r="H397" s="181">
        <f t="shared" si="108"/>
        <v>15900</v>
      </c>
      <c r="I397" s="181">
        <f t="shared" si="108"/>
        <v>0</v>
      </c>
      <c r="J397" s="181">
        <f t="shared" si="108"/>
        <v>0</v>
      </c>
      <c r="K397" s="181">
        <f t="shared" si="108"/>
        <v>0</v>
      </c>
      <c r="L397" s="181">
        <f t="shared" si="108"/>
        <v>31500</v>
      </c>
      <c r="M397" s="433">
        <f t="shared" si="108"/>
        <v>0</v>
      </c>
      <c r="N397" s="181">
        <f>SUM(N383:N396)</f>
        <v>0</v>
      </c>
      <c r="O397" s="181">
        <f>SUM(O383:O396)</f>
        <v>0</v>
      </c>
      <c r="P397" s="181"/>
      <c r="Q397" s="181">
        <f>SUM(Q383:Q396)</f>
        <v>0</v>
      </c>
      <c r="R397" s="181">
        <f>SUM(R383:R396)</f>
        <v>0</v>
      </c>
      <c r="S397" s="181">
        <f>SUM(S383:S396)</f>
        <v>0</v>
      </c>
      <c r="T397" s="181">
        <f>SUM(T383:T396)</f>
        <v>0</v>
      </c>
      <c r="U397" s="181">
        <f t="shared" si="107"/>
        <v>143872</v>
      </c>
    </row>
    <row r="398" spans="1:21" ht="21" customHeight="1">
      <c r="A398" s="758" t="s">
        <v>253</v>
      </c>
      <c r="B398" s="759"/>
      <c r="C398" s="185">
        <f>+C397+C288</f>
        <v>128184</v>
      </c>
      <c r="D398" s="185">
        <f aca="true" t="shared" si="109" ref="D398:U398">+D397+D288</f>
        <v>33298</v>
      </c>
      <c r="E398" s="185">
        <f t="shared" si="109"/>
        <v>0</v>
      </c>
      <c r="F398" s="185">
        <f t="shared" si="109"/>
        <v>0</v>
      </c>
      <c r="G398" s="185">
        <f t="shared" si="109"/>
        <v>0</v>
      </c>
      <c r="H398" s="185">
        <f t="shared" si="109"/>
        <v>72180</v>
      </c>
      <c r="I398" s="185">
        <f t="shared" si="109"/>
        <v>0</v>
      </c>
      <c r="J398" s="185">
        <f t="shared" si="109"/>
        <v>0</v>
      </c>
      <c r="K398" s="185">
        <f t="shared" si="109"/>
        <v>0</v>
      </c>
      <c r="L398" s="185">
        <f t="shared" si="109"/>
        <v>88500</v>
      </c>
      <c r="M398" s="185">
        <f t="shared" si="109"/>
        <v>0</v>
      </c>
      <c r="N398" s="185">
        <f t="shared" si="109"/>
        <v>0</v>
      </c>
      <c r="O398" s="185">
        <f t="shared" si="109"/>
        <v>0</v>
      </c>
      <c r="P398" s="185">
        <f t="shared" si="109"/>
        <v>0</v>
      </c>
      <c r="Q398" s="185">
        <f t="shared" si="109"/>
        <v>0</v>
      </c>
      <c r="R398" s="185">
        <f t="shared" si="109"/>
        <v>0</v>
      </c>
      <c r="S398" s="185">
        <f t="shared" si="109"/>
        <v>23759</v>
      </c>
      <c r="T398" s="185">
        <f t="shared" si="109"/>
        <v>0</v>
      </c>
      <c r="U398" s="185">
        <f t="shared" si="109"/>
        <v>345921</v>
      </c>
    </row>
    <row r="399" spans="1:21" ht="21" customHeight="1">
      <c r="A399" s="771" t="s">
        <v>297</v>
      </c>
      <c r="B399" s="772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M399" s="434"/>
      <c r="N399" s="186"/>
      <c r="O399" s="186"/>
      <c r="P399" s="186"/>
      <c r="Q399" s="186"/>
      <c r="R399" s="186"/>
      <c r="S399" s="186"/>
      <c r="T399" s="186"/>
      <c r="U399" s="187">
        <f aca="true" t="shared" si="110" ref="U399:U404">SUM(C399:T399)</f>
        <v>0</v>
      </c>
    </row>
    <row r="400" spans="1:21" ht="21" customHeight="1">
      <c r="A400" s="179">
        <v>340100</v>
      </c>
      <c r="B400" s="83" t="s">
        <v>280</v>
      </c>
      <c r="C400" s="91">
        <v>19412.19</v>
      </c>
      <c r="D400" s="91"/>
      <c r="E400" s="91"/>
      <c r="F400" s="91"/>
      <c r="G400" s="91"/>
      <c r="H400" s="91"/>
      <c r="I400" s="91"/>
      <c r="J400" s="91"/>
      <c r="K400" s="91"/>
      <c r="L400" s="91"/>
      <c r="M400" s="431"/>
      <c r="N400" s="91"/>
      <c r="O400" s="91"/>
      <c r="P400" s="91"/>
      <c r="Q400" s="91"/>
      <c r="R400" s="91"/>
      <c r="S400" s="91">
        <v>45360.16</v>
      </c>
      <c r="T400" s="91"/>
      <c r="U400" s="181">
        <f t="shared" si="110"/>
        <v>64772.350000000006</v>
      </c>
    </row>
    <row r="401" spans="1:21" ht="21" customHeight="1">
      <c r="A401" s="179">
        <v>340300</v>
      </c>
      <c r="B401" s="83" t="s">
        <v>281</v>
      </c>
      <c r="C401" s="91">
        <v>606.21</v>
      </c>
      <c r="D401" s="91"/>
      <c r="E401" s="91"/>
      <c r="F401" s="91"/>
      <c r="G401" s="91"/>
      <c r="H401" s="91"/>
      <c r="I401" s="91"/>
      <c r="J401" s="91"/>
      <c r="K401" s="91"/>
      <c r="L401" s="91"/>
      <c r="M401" s="431"/>
      <c r="N401" s="91"/>
      <c r="O401" s="91"/>
      <c r="P401" s="91"/>
      <c r="Q401" s="91"/>
      <c r="R401" s="91"/>
      <c r="S401" s="91"/>
      <c r="T401" s="91"/>
      <c r="U401" s="181">
        <f t="shared" si="110"/>
        <v>606.21</v>
      </c>
    </row>
    <row r="402" spans="1:21" ht="21" customHeight="1">
      <c r="A402" s="179">
        <v>340400</v>
      </c>
      <c r="B402" s="83" t="s">
        <v>282</v>
      </c>
      <c r="C402" s="91">
        <v>2091</v>
      </c>
      <c r="D402" s="91"/>
      <c r="E402" s="91"/>
      <c r="F402" s="91"/>
      <c r="G402" s="91"/>
      <c r="H402" s="91"/>
      <c r="I402" s="91"/>
      <c r="J402" s="91"/>
      <c r="K402" s="91"/>
      <c r="L402" s="91"/>
      <c r="M402" s="431"/>
      <c r="N402" s="91"/>
      <c r="O402" s="91"/>
      <c r="P402" s="91"/>
      <c r="Q402" s="91"/>
      <c r="R402" s="91"/>
      <c r="S402" s="91"/>
      <c r="T402" s="91"/>
      <c r="U402" s="181">
        <f t="shared" si="110"/>
        <v>2091</v>
      </c>
    </row>
    <row r="403" spans="1:21" ht="21" customHeight="1">
      <c r="A403" s="182">
        <v>340500</v>
      </c>
      <c r="B403" s="84" t="s">
        <v>283</v>
      </c>
      <c r="C403" s="91">
        <v>8560</v>
      </c>
      <c r="D403" s="115"/>
      <c r="E403" s="115"/>
      <c r="F403" s="115"/>
      <c r="G403" s="115"/>
      <c r="H403" s="115"/>
      <c r="I403" s="115"/>
      <c r="J403" s="115"/>
      <c r="K403" s="115"/>
      <c r="L403" s="115"/>
      <c r="M403" s="432"/>
      <c r="N403" s="115"/>
      <c r="O403" s="115"/>
      <c r="P403" s="115"/>
      <c r="Q403" s="115"/>
      <c r="R403" s="115"/>
      <c r="S403" s="115"/>
      <c r="T403" s="115"/>
      <c r="U403" s="184">
        <f t="shared" si="110"/>
        <v>8560</v>
      </c>
    </row>
    <row r="404" spans="1:21" ht="21" customHeight="1">
      <c r="A404" s="756" t="s">
        <v>252</v>
      </c>
      <c r="B404" s="757"/>
      <c r="C404" s="181">
        <f>SUM(C400:C403)</f>
        <v>30669.399999999998</v>
      </c>
      <c r="D404" s="181">
        <f aca="true" t="shared" si="111" ref="D404:L404">SUM(D400:D403)</f>
        <v>0</v>
      </c>
      <c r="E404" s="181">
        <f t="shared" si="111"/>
        <v>0</v>
      </c>
      <c r="F404" s="181">
        <f t="shared" si="111"/>
        <v>0</v>
      </c>
      <c r="G404" s="181">
        <f t="shared" si="111"/>
        <v>0</v>
      </c>
      <c r="H404" s="181">
        <f t="shared" si="111"/>
        <v>0</v>
      </c>
      <c r="I404" s="181">
        <f t="shared" si="111"/>
        <v>0</v>
      </c>
      <c r="J404" s="181">
        <f t="shared" si="111"/>
        <v>0</v>
      </c>
      <c r="K404" s="181">
        <f t="shared" si="111"/>
        <v>0</v>
      </c>
      <c r="L404" s="181">
        <f t="shared" si="111"/>
        <v>0</v>
      </c>
      <c r="M404" s="433">
        <f>SUM(M400:M403)</f>
        <v>0</v>
      </c>
      <c r="N404" s="181">
        <f>SUM(N400:N403)</f>
        <v>0</v>
      </c>
      <c r="O404" s="181">
        <f>SUM(O400:O403)</f>
        <v>0</v>
      </c>
      <c r="P404" s="181"/>
      <c r="Q404" s="181">
        <f>SUM(Q400:Q403)</f>
        <v>0</v>
      </c>
      <c r="R404" s="181">
        <f>SUM(R400:R403)</f>
        <v>0</v>
      </c>
      <c r="S404" s="181">
        <f>SUM(S400:S403)</f>
        <v>45360.16</v>
      </c>
      <c r="T404" s="181">
        <f>SUM(T400:T403)</f>
        <v>0</v>
      </c>
      <c r="U404" s="181">
        <f t="shared" si="110"/>
        <v>76029.56</v>
      </c>
    </row>
    <row r="405" spans="1:21" ht="21" customHeight="1">
      <c r="A405" s="758" t="s">
        <v>253</v>
      </c>
      <c r="B405" s="759"/>
      <c r="C405" s="185">
        <f>+C404+C295</f>
        <v>99907.59999999999</v>
      </c>
      <c r="D405" s="185">
        <f aca="true" t="shared" si="112" ref="D405:U405">+D404+D295</f>
        <v>0</v>
      </c>
      <c r="E405" s="185">
        <f t="shared" si="112"/>
        <v>0</v>
      </c>
      <c r="F405" s="185">
        <f t="shared" si="112"/>
        <v>0</v>
      </c>
      <c r="G405" s="185">
        <f t="shared" si="112"/>
        <v>0</v>
      </c>
      <c r="H405" s="185">
        <f t="shared" si="112"/>
        <v>3105</v>
      </c>
      <c r="I405" s="185">
        <f t="shared" si="112"/>
        <v>0</v>
      </c>
      <c r="J405" s="185">
        <f t="shared" si="112"/>
        <v>0</v>
      </c>
      <c r="K405" s="185">
        <f t="shared" si="112"/>
        <v>0</v>
      </c>
      <c r="L405" s="185">
        <f t="shared" si="112"/>
        <v>0</v>
      </c>
      <c r="M405" s="185">
        <f t="shared" si="112"/>
        <v>0</v>
      </c>
      <c r="N405" s="185">
        <f t="shared" si="112"/>
        <v>0</v>
      </c>
      <c r="O405" s="185">
        <f t="shared" si="112"/>
        <v>0</v>
      </c>
      <c r="P405" s="185">
        <f t="shared" si="112"/>
        <v>0</v>
      </c>
      <c r="Q405" s="185">
        <f t="shared" si="112"/>
        <v>0</v>
      </c>
      <c r="R405" s="185">
        <f t="shared" si="112"/>
        <v>0</v>
      </c>
      <c r="S405" s="185">
        <f t="shared" si="112"/>
        <v>133378.97</v>
      </c>
      <c r="T405" s="185">
        <f t="shared" si="112"/>
        <v>0</v>
      </c>
      <c r="U405" s="185">
        <f t="shared" si="112"/>
        <v>236391.56999999998</v>
      </c>
    </row>
    <row r="406" spans="1:21" ht="21" customHeight="1">
      <c r="A406" s="771" t="s">
        <v>298</v>
      </c>
      <c r="B406" s="772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434"/>
      <c r="N406" s="186"/>
      <c r="O406" s="186"/>
      <c r="P406" s="186"/>
      <c r="Q406" s="186"/>
      <c r="R406" s="186"/>
      <c r="S406" s="186"/>
      <c r="T406" s="186"/>
      <c r="U406" s="187">
        <f aca="true" t="shared" si="113" ref="U406:U418">SUM(C406:T406)</f>
        <v>0</v>
      </c>
    </row>
    <row r="407" spans="1:21" ht="21" customHeight="1">
      <c r="A407" s="179">
        <v>410400</v>
      </c>
      <c r="B407" s="83" t="s">
        <v>284</v>
      </c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431"/>
      <c r="N407" s="91"/>
      <c r="O407" s="91"/>
      <c r="P407" s="91"/>
      <c r="Q407" s="91"/>
      <c r="R407" s="91"/>
      <c r="S407" s="91"/>
      <c r="T407" s="91"/>
      <c r="U407" s="181">
        <f t="shared" si="113"/>
        <v>0</v>
      </c>
    </row>
    <row r="408" spans="1:21" ht="21" customHeight="1">
      <c r="A408" s="179">
        <v>410200</v>
      </c>
      <c r="B408" s="83" t="s">
        <v>344</v>
      </c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431"/>
      <c r="N408" s="91"/>
      <c r="O408" s="91"/>
      <c r="P408" s="91"/>
      <c r="Q408" s="91"/>
      <c r="R408" s="91"/>
      <c r="S408" s="91"/>
      <c r="T408" s="91"/>
      <c r="U408" s="181">
        <f t="shared" si="113"/>
        <v>0</v>
      </c>
    </row>
    <row r="409" spans="1:21" ht="21" customHeight="1">
      <c r="A409" s="179">
        <v>410300</v>
      </c>
      <c r="B409" s="83" t="s">
        <v>285</v>
      </c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431"/>
      <c r="N409" s="91"/>
      <c r="O409" s="91"/>
      <c r="P409" s="91"/>
      <c r="Q409" s="91"/>
      <c r="R409" s="91"/>
      <c r="S409" s="91"/>
      <c r="T409" s="91"/>
      <c r="U409" s="181">
        <f t="shared" si="113"/>
        <v>0</v>
      </c>
    </row>
    <row r="410" spans="1:21" ht="21" customHeight="1">
      <c r="A410" s="179">
        <v>410400</v>
      </c>
      <c r="B410" s="83" t="s">
        <v>345</v>
      </c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432"/>
      <c r="N410" s="115"/>
      <c r="O410" s="115"/>
      <c r="P410" s="115"/>
      <c r="Q410" s="115"/>
      <c r="R410" s="115"/>
      <c r="S410" s="115"/>
      <c r="T410" s="115"/>
      <c r="U410" s="181">
        <f t="shared" si="113"/>
        <v>0</v>
      </c>
    </row>
    <row r="411" spans="1:21" ht="21" customHeight="1">
      <c r="A411" s="179">
        <v>410500</v>
      </c>
      <c r="B411" s="83" t="s">
        <v>346</v>
      </c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432"/>
      <c r="N411" s="115"/>
      <c r="O411" s="115"/>
      <c r="P411" s="115"/>
      <c r="Q411" s="115"/>
      <c r="R411" s="115"/>
      <c r="S411" s="115"/>
      <c r="T411" s="115"/>
      <c r="U411" s="181">
        <f t="shared" si="113"/>
        <v>0</v>
      </c>
    </row>
    <row r="412" spans="1:21" ht="21" customHeight="1">
      <c r="A412" s="179">
        <v>410600</v>
      </c>
      <c r="B412" s="83" t="s">
        <v>347</v>
      </c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432"/>
      <c r="N412" s="115"/>
      <c r="O412" s="115"/>
      <c r="P412" s="115"/>
      <c r="Q412" s="115"/>
      <c r="R412" s="115"/>
      <c r="S412" s="115"/>
      <c r="T412" s="115"/>
      <c r="U412" s="181">
        <f t="shared" si="113"/>
        <v>0</v>
      </c>
    </row>
    <row r="413" spans="1:21" ht="21" customHeight="1">
      <c r="A413" s="179">
        <v>410700</v>
      </c>
      <c r="B413" s="83" t="s">
        <v>286</v>
      </c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431"/>
      <c r="N413" s="91"/>
      <c r="O413" s="91"/>
      <c r="P413" s="91"/>
      <c r="Q413" s="91"/>
      <c r="R413" s="91"/>
      <c r="S413" s="91"/>
      <c r="T413" s="91"/>
      <c r="U413" s="181">
        <f t="shared" si="113"/>
        <v>0</v>
      </c>
    </row>
    <row r="414" spans="1:21" ht="21" customHeight="1">
      <c r="A414" s="179">
        <v>410800</v>
      </c>
      <c r="B414" s="83" t="s">
        <v>348</v>
      </c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432"/>
      <c r="N414" s="115"/>
      <c r="O414" s="115"/>
      <c r="P414" s="115"/>
      <c r="Q414" s="115"/>
      <c r="R414" s="115"/>
      <c r="S414" s="115"/>
      <c r="T414" s="115"/>
      <c r="U414" s="181">
        <f t="shared" si="113"/>
        <v>0</v>
      </c>
    </row>
    <row r="415" spans="1:21" ht="21" customHeight="1">
      <c r="A415" s="179">
        <v>410900</v>
      </c>
      <c r="B415" s="83" t="s">
        <v>529</v>
      </c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432"/>
      <c r="N415" s="115"/>
      <c r="O415" s="115"/>
      <c r="P415" s="115"/>
      <c r="Q415" s="115"/>
      <c r="R415" s="115"/>
      <c r="S415" s="115"/>
      <c r="T415" s="115"/>
      <c r="U415" s="181">
        <f t="shared" si="113"/>
        <v>0</v>
      </c>
    </row>
    <row r="416" spans="1:21" ht="21" customHeight="1">
      <c r="A416" s="179">
        <v>411600</v>
      </c>
      <c r="B416" s="83" t="s">
        <v>349</v>
      </c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431"/>
      <c r="N416" s="91"/>
      <c r="O416" s="91"/>
      <c r="P416" s="91"/>
      <c r="Q416" s="91"/>
      <c r="R416" s="91"/>
      <c r="S416" s="91"/>
      <c r="T416" s="91"/>
      <c r="U416" s="181">
        <f t="shared" si="113"/>
        <v>0</v>
      </c>
    </row>
    <row r="417" spans="1:21" ht="21" customHeight="1">
      <c r="A417" s="179">
        <v>411800</v>
      </c>
      <c r="B417" s="83" t="s">
        <v>287</v>
      </c>
      <c r="C417" s="91">
        <v>7470</v>
      </c>
      <c r="D417" s="91"/>
      <c r="E417" s="91"/>
      <c r="F417" s="91"/>
      <c r="G417" s="91"/>
      <c r="H417" s="91"/>
      <c r="I417" s="91"/>
      <c r="J417" s="91">
        <f>36960+41300</f>
        <v>78260</v>
      </c>
      <c r="K417" s="91">
        <v>0</v>
      </c>
      <c r="L417" s="91"/>
      <c r="M417" s="431"/>
      <c r="N417" s="91"/>
      <c r="O417" s="91"/>
      <c r="P417" s="91"/>
      <c r="Q417" s="91"/>
      <c r="R417" s="91"/>
      <c r="S417" s="91"/>
      <c r="T417" s="91"/>
      <c r="U417" s="181">
        <f t="shared" si="113"/>
        <v>85730</v>
      </c>
    </row>
    <row r="418" spans="1:22" ht="21" customHeight="1">
      <c r="A418" s="756" t="s">
        <v>252</v>
      </c>
      <c r="B418" s="757"/>
      <c r="C418" s="181">
        <f>SUM(C407:C417)</f>
        <v>7470</v>
      </c>
      <c r="D418" s="181">
        <f aca="true" t="shared" si="114" ref="D418:L418">SUM(D407:D417)</f>
        <v>0</v>
      </c>
      <c r="E418" s="181">
        <f t="shared" si="114"/>
        <v>0</v>
      </c>
      <c r="F418" s="181">
        <f t="shared" si="114"/>
        <v>0</v>
      </c>
      <c r="G418" s="181">
        <f t="shared" si="114"/>
        <v>0</v>
      </c>
      <c r="H418" s="181">
        <f t="shared" si="114"/>
        <v>0</v>
      </c>
      <c r="I418" s="181">
        <f t="shared" si="114"/>
        <v>0</v>
      </c>
      <c r="J418" s="181">
        <f t="shared" si="114"/>
        <v>78260</v>
      </c>
      <c r="K418" s="181">
        <f t="shared" si="114"/>
        <v>0</v>
      </c>
      <c r="L418" s="181">
        <f t="shared" si="114"/>
        <v>0</v>
      </c>
      <c r="M418" s="433">
        <f>SUM(M407:M417)</f>
        <v>0</v>
      </c>
      <c r="N418" s="181">
        <f>SUM(N407:N417)</f>
        <v>0</v>
      </c>
      <c r="O418" s="181">
        <f>SUM(O407:O417)</f>
        <v>0</v>
      </c>
      <c r="P418" s="181"/>
      <c r="Q418" s="181">
        <f>SUM(Q407:Q417)</f>
        <v>0</v>
      </c>
      <c r="R418" s="181">
        <f>SUM(R407:R417)</f>
        <v>0</v>
      </c>
      <c r="S418" s="181">
        <f>SUM(S407:S417)</f>
        <v>0</v>
      </c>
      <c r="T418" s="181">
        <f>SUM(T407:T417)</f>
        <v>0</v>
      </c>
      <c r="U418" s="181">
        <f t="shared" si="113"/>
        <v>85730</v>
      </c>
      <c r="V418" s="177">
        <f>85730-U418</f>
        <v>0</v>
      </c>
    </row>
    <row r="419" spans="1:21" ht="21" customHeight="1">
      <c r="A419" s="758" t="s">
        <v>253</v>
      </c>
      <c r="B419" s="759"/>
      <c r="C419" s="185">
        <f>+C418+C309</f>
        <v>7470</v>
      </c>
      <c r="D419" s="185">
        <f aca="true" t="shared" si="115" ref="D419:U419">+D418+D309</f>
        <v>0</v>
      </c>
      <c r="E419" s="185">
        <f t="shared" si="115"/>
        <v>0</v>
      </c>
      <c r="F419" s="185">
        <f t="shared" si="115"/>
        <v>0</v>
      </c>
      <c r="G419" s="185">
        <f t="shared" si="115"/>
        <v>0</v>
      </c>
      <c r="H419" s="185">
        <f t="shared" si="115"/>
        <v>0</v>
      </c>
      <c r="I419" s="185">
        <f t="shared" si="115"/>
        <v>0</v>
      </c>
      <c r="J419" s="185">
        <f t="shared" si="115"/>
        <v>86160</v>
      </c>
      <c r="K419" s="185">
        <f t="shared" si="115"/>
        <v>0</v>
      </c>
      <c r="L419" s="185">
        <f t="shared" si="115"/>
        <v>0</v>
      </c>
      <c r="M419" s="185">
        <f t="shared" si="115"/>
        <v>0</v>
      </c>
      <c r="N419" s="185">
        <f t="shared" si="115"/>
        <v>0</v>
      </c>
      <c r="O419" s="185">
        <f t="shared" si="115"/>
        <v>0</v>
      </c>
      <c r="P419" s="185">
        <f t="shared" si="115"/>
        <v>0</v>
      </c>
      <c r="Q419" s="185">
        <f t="shared" si="115"/>
        <v>0</v>
      </c>
      <c r="R419" s="185">
        <f t="shared" si="115"/>
        <v>0</v>
      </c>
      <c r="S419" s="185">
        <f t="shared" si="115"/>
        <v>0</v>
      </c>
      <c r="T419" s="185">
        <f t="shared" si="115"/>
        <v>0</v>
      </c>
      <c r="U419" s="185">
        <f t="shared" si="115"/>
        <v>93630</v>
      </c>
    </row>
    <row r="420" spans="1:21" ht="21" customHeight="1">
      <c r="A420" s="769" t="s">
        <v>216</v>
      </c>
      <c r="B420" s="769"/>
      <c r="C420" s="768" t="s">
        <v>218</v>
      </c>
      <c r="D420" s="768"/>
      <c r="E420" s="496" t="s">
        <v>221</v>
      </c>
      <c r="F420" s="768" t="s">
        <v>223</v>
      </c>
      <c r="G420" s="769"/>
      <c r="H420" s="496" t="s">
        <v>237</v>
      </c>
      <c r="I420" s="496" t="s">
        <v>238</v>
      </c>
      <c r="J420" s="765" t="s">
        <v>239</v>
      </c>
      <c r="K420" s="766"/>
      <c r="L420" s="767"/>
      <c r="M420" s="495" t="s">
        <v>240</v>
      </c>
      <c r="N420" s="765" t="s">
        <v>241</v>
      </c>
      <c r="O420" s="766"/>
      <c r="P420" s="767"/>
      <c r="Q420" s="768" t="s">
        <v>242</v>
      </c>
      <c r="R420" s="769"/>
      <c r="S420" s="496" t="s">
        <v>306</v>
      </c>
      <c r="T420" s="496" t="s">
        <v>243</v>
      </c>
      <c r="U420" s="770" t="s">
        <v>17</v>
      </c>
    </row>
    <row r="421" spans="1:21" ht="21" customHeight="1">
      <c r="A421" s="769" t="s">
        <v>217</v>
      </c>
      <c r="B421" s="769"/>
      <c r="C421" s="496" t="s">
        <v>219</v>
      </c>
      <c r="D421" s="496" t="s">
        <v>220</v>
      </c>
      <c r="E421" s="496" t="s">
        <v>312</v>
      </c>
      <c r="F421" s="496" t="s">
        <v>224</v>
      </c>
      <c r="G421" s="496" t="s">
        <v>225</v>
      </c>
      <c r="H421" s="496" t="s">
        <v>227</v>
      </c>
      <c r="I421" s="496" t="s">
        <v>228</v>
      </c>
      <c r="J421" s="496" t="s">
        <v>229</v>
      </c>
      <c r="K421" s="496" t="s">
        <v>230</v>
      </c>
      <c r="L421" s="496" t="s">
        <v>431</v>
      </c>
      <c r="M421" s="495" t="s">
        <v>231</v>
      </c>
      <c r="N421" s="496" t="s">
        <v>232</v>
      </c>
      <c r="O421" s="496" t="s">
        <v>233</v>
      </c>
      <c r="P421" s="496" t="s">
        <v>314</v>
      </c>
      <c r="Q421" s="496" t="s">
        <v>234</v>
      </c>
      <c r="R421" s="496" t="s">
        <v>235</v>
      </c>
      <c r="S421" s="496" t="s">
        <v>307</v>
      </c>
      <c r="T421" s="496" t="s">
        <v>236</v>
      </c>
      <c r="U421" s="770"/>
    </row>
    <row r="422" spans="1:21" ht="21" customHeight="1">
      <c r="A422" s="771" t="s">
        <v>299</v>
      </c>
      <c r="B422" s="772"/>
      <c r="C422" s="186"/>
      <c r="D422" s="186"/>
      <c r="E422" s="186"/>
      <c r="F422" s="186"/>
      <c r="G422" s="186"/>
      <c r="H422" s="186"/>
      <c r="I422" s="186"/>
      <c r="J422" s="186"/>
      <c r="K422" s="186"/>
      <c r="L422" s="186"/>
      <c r="M422" s="434"/>
      <c r="N422" s="186"/>
      <c r="O422" s="186"/>
      <c r="P422" s="186"/>
      <c r="Q422" s="186"/>
      <c r="R422" s="186"/>
      <c r="S422" s="186"/>
      <c r="T422" s="186"/>
      <c r="U422" s="187">
        <f>SUM(C422:T422)</f>
        <v>0</v>
      </c>
    </row>
    <row r="423" spans="1:21" ht="21" customHeight="1">
      <c r="A423" s="179">
        <v>429000</v>
      </c>
      <c r="B423" s="180" t="s">
        <v>10</v>
      </c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431"/>
      <c r="N423" s="91"/>
      <c r="O423" s="91"/>
      <c r="P423" s="91"/>
      <c r="Q423" s="91"/>
      <c r="R423" s="91"/>
      <c r="S423" s="91"/>
      <c r="T423" s="91"/>
      <c r="U423" s="181">
        <f>SUM(C423:T423)</f>
        <v>0</v>
      </c>
    </row>
    <row r="424" spans="1:21" ht="21" customHeight="1">
      <c r="A424" s="182">
        <v>421000</v>
      </c>
      <c r="B424" s="183" t="s">
        <v>303</v>
      </c>
      <c r="C424" s="115"/>
      <c r="D424" s="115"/>
      <c r="E424" s="115"/>
      <c r="F424" s="115"/>
      <c r="G424" s="115"/>
      <c r="H424" s="115"/>
      <c r="I424" s="115"/>
      <c r="J424" s="115"/>
      <c r="K424" s="115">
        <v>33700</v>
      </c>
      <c r="L424" s="115"/>
      <c r="M424" s="432"/>
      <c r="N424" s="115"/>
      <c r="O424" s="115"/>
      <c r="P424" s="115"/>
      <c r="Q424" s="115"/>
      <c r="R424" s="115"/>
      <c r="S424" s="115"/>
      <c r="T424" s="115"/>
      <c r="U424" s="184">
        <f>SUM(C424:T424)</f>
        <v>33700</v>
      </c>
    </row>
    <row r="425" spans="1:22" ht="21" customHeight="1">
      <c r="A425" s="756" t="s">
        <v>252</v>
      </c>
      <c r="B425" s="757"/>
      <c r="C425" s="181">
        <f>SUM(C423:C424)</f>
        <v>0</v>
      </c>
      <c r="D425" s="181">
        <f aca="true" t="shared" si="116" ref="D425:S425">SUM(D423:D424)</f>
        <v>0</v>
      </c>
      <c r="E425" s="181">
        <f t="shared" si="116"/>
        <v>0</v>
      </c>
      <c r="F425" s="181">
        <f t="shared" si="116"/>
        <v>0</v>
      </c>
      <c r="G425" s="181">
        <f t="shared" si="116"/>
        <v>0</v>
      </c>
      <c r="H425" s="181">
        <f t="shared" si="116"/>
        <v>0</v>
      </c>
      <c r="I425" s="181">
        <f t="shared" si="116"/>
        <v>0</v>
      </c>
      <c r="J425" s="181">
        <f t="shared" si="116"/>
        <v>0</v>
      </c>
      <c r="K425" s="181">
        <f t="shared" si="116"/>
        <v>33700</v>
      </c>
      <c r="L425" s="181">
        <f t="shared" si="116"/>
        <v>0</v>
      </c>
      <c r="M425" s="433">
        <f t="shared" si="116"/>
        <v>0</v>
      </c>
      <c r="N425" s="181">
        <f t="shared" si="116"/>
        <v>0</v>
      </c>
      <c r="O425" s="181">
        <f t="shared" si="116"/>
        <v>0</v>
      </c>
      <c r="P425" s="181">
        <f t="shared" si="116"/>
        <v>0</v>
      </c>
      <c r="Q425" s="181">
        <f t="shared" si="116"/>
        <v>0</v>
      </c>
      <c r="R425" s="181">
        <f t="shared" si="116"/>
        <v>0</v>
      </c>
      <c r="S425" s="181">
        <f t="shared" si="116"/>
        <v>0</v>
      </c>
      <c r="T425" s="181">
        <f>SUM(T423:T424)</f>
        <v>0</v>
      </c>
      <c r="U425" s="181">
        <f>SUM(C425:T425)</f>
        <v>33700</v>
      </c>
      <c r="V425" s="177">
        <v>33700</v>
      </c>
    </row>
    <row r="426" spans="1:21" ht="21" customHeight="1">
      <c r="A426" s="758" t="s">
        <v>253</v>
      </c>
      <c r="B426" s="759"/>
      <c r="C426" s="185">
        <f>+C425+C316</f>
        <v>0</v>
      </c>
      <c r="D426" s="185">
        <f aca="true" t="shared" si="117" ref="D426:U426">+D425+D316</f>
        <v>0</v>
      </c>
      <c r="E426" s="185">
        <f t="shared" si="117"/>
        <v>0</v>
      </c>
      <c r="F426" s="185">
        <f t="shared" si="117"/>
        <v>0</v>
      </c>
      <c r="G426" s="185">
        <f t="shared" si="117"/>
        <v>0</v>
      </c>
      <c r="H426" s="185">
        <f t="shared" si="117"/>
        <v>0</v>
      </c>
      <c r="I426" s="185">
        <f t="shared" si="117"/>
        <v>0</v>
      </c>
      <c r="J426" s="185">
        <f t="shared" si="117"/>
        <v>0</v>
      </c>
      <c r="K426" s="185">
        <f t="shared" si="117"/>
        <v>132200</v>
      </c>
      <c r="L426" s="185">
        <f t="shared" si="117"/>
        <v>0</v>
      </c>
      <c r="M426" s="185">
        <f t="shared" si="117"/>
        <v>0</v>
      </c>
      <c r="N426" s="185">
        <f t="shared" si="117"/>
        <v>0</v>
      </c>
      <c r="O426" s="185">
        <f t="shared" si="117"/>
        <v>0</v>
      </c>
      <c r="P426" s="185">
        <f t="shared" si="117"/>
        <v>0</v>
      </c>
      <c r="Q426" s="185">
        <f t="shared" si="117"/>
        <v>0</v>
      </c>
      <c r="R426" s="185">
        <f t="shared" si="117"/>
        <v>0</v>
      </c>
      <c r="S426" s="185">
        <f t="shared" si="117"/>
        <v>0</v>
      </c>
      <c r="T426" s="185">
        <f t="shared" si="117"/>
        <v>0</v>
      </c>
      <c r="U426" s="185">
        <f t="shared" si="117"/>
        <v>132200</v>
      </c>
    </row>
    <row r="427" spans="1:21" ht="21" customHeight="1">
      <c r="A427" s="771" t="s">
        <v>300</v>
      </c>
      <c r="B427" s="772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M427" s="434"/>
      <c r="N427" s="186"/>
      <c r="O427" s="186"/>
      <c r="P427" s="186"/>
      <c r="Q427" s="186"/>
      <c r="R427" s="186"/>
      <c r="S427" s="186"/>
      <c r="T427" s="186"/>
      <c r="U427" s="187">
        <f>SUM(C427:T427)</f>
        <v>0</v>
      </c>
    </row>
    <row r="428" spans="1:21" ht="21" customHeight="1">
      <c r="A428" s="179">
        <v>610100</v>
      </c>
      <c r="B428" s="188" t="s">
        <v>302</v>
      </c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431"/>
      <c r="N428" s="91"/>
      <c r="O428" s="91"/>
      <c r="P428" s="91"/>
      <c r="Q428" s="91"/>
      <c r="R428" s="91"/>
      <c r="S428" s="91"/>
      <c r="T428" s="91"/>
      <c r="U428" s="181">
        <f>SUM(C428:T428)</f>
        <v>0</v>
      </c>
    </row>
    <row r="429" spans="1:21" ht="21" customHeight="1">
      <c r="A429" s="179">
        <v>610200</v>
      </c>
      <c r="B429" s="180" t="s">
        <v>288</v>
      </c>
      <c r="C429" s="91"/>
      <c r="D429" s="91"/>
      <c r="E429" s="91"/>
      <c r="F429" s="91"/>
      <c r="G429" s="91">
        <f>591000+8000+10000+312000</f>
        <v>921000</v>
      </c>
      <c r="H429" s="91">
        <v>0</v>
      </c>
      <c r="I429" s="91"/>
      <c r="J429" s="91"/>
      <c r="K429" s="91"/>
      <c r="L429" s="91"/>
      <c r="M429" s="431"/>
      <c r="N429" s="91"/>
      <c r="O429" s="91"/>
      <c r="P429" s="91"/>
      <c r="Q429" s="91"/>
      <c r="R429" s="91"/>
      <c r="S429" s="91"/>
      <c r="T429" s="91"/>
      <c r="U429" s="181">
        <f>SUM(C429:T429)</f>
        <v>921000</v>
      </c>
    </row>
    <row r="430" spans="1:21" ht="21" customHeight="1">
      <c r="A430" s="182">
        <v>610400</v>
      </c>
      <c r="B430" s="183" t="s">
        <v>301</v>
      </c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432"/>
      <c r="N430" s="115"/>
      <c r="O430" s="115"/>
      <c r="P430" s="115"/>
      <c r="Q430" s="115"/>
      <c r="R430" s="115"/>
      <c r="S430" s="115"/>
      <c r="T430" s="115"/>
      <c r="U430" s="184">
        <f>SUM(C430:T430)</f>
        <v>0</v>
      </c>
    </row>
    <row r="431" spans="1:21" ht="21" customHeight="1">
      <c r="A431" s="756" t="s">
        <v>252</v>
      </c>
      <c r="B431" s="757"/>
      <c r="C431" s="181">
        <f aca="true" t="shared" si="118" ref="C431:O431">SUM(C428:C430)</f>
        <v>0</v>
      </c>
      <c r="D431" s="181">
        <f t="shared" si="118"/>
        <v>0</v>
      </c>
      <c r="E431" s="181">
        <f t="shared" si="118"/>
        <v>0</v>
      </c>
      <c r="F431" s="181">
        <f t="shared" si="118"/>
        <v>0</v>
      </c>
      <c r="G431" s="181">
        <f t="shared" si="118"/>
        <v>921000</v>
      </c>
      <c r="H431" s="181">
        <f t="shared" si="118"/>
        <v>0</v>
      </c>
      <c r="I431" s="181">
        <f t="shared" si="118"/>
        <v>0</v>
      </c>
      <c r="J431" s="181">
        <f t="shared" si="118"/>
        <v>0</v>
      </c>
      <c r="K431" s="181">
        <f t="shared" si="118"/>
        <v>0</v>
      </c>
      <c r="L431" s="181">
        <f t="shared" si="118"/>
        <v>0</v>
      </c>
      <c r="M431" s="433">
        <f t="shared" si="118"/>
        <v>0</v>
      </c>
      <c r="N431" s="181">
        <f t="shared" si="118"/>
        <v>0</v>
      </c>
      <c r="O431" s="181">
        <f t="shared" si="118"/>
        <v>0</v>
      </c>
      <c r="P431" s="181"/>
      <c r="Q431" s="181">
        <f>SUM(Q428:Q430)</f>
        <v>0</v>
      </c>
      <c r="R431" s="181">
        <f>SUM(R428:R430)</f>
        <v>0</v>
      </c>
      <c r="S431" s="181">
        <f>SUM(S428:S430)</f>
        <v>0</v>
      </c>
      <c r="T431" s="181">
        <f>SUM(T428:T430)</f>
        <v>0</v>
      </c>
      <c r="U431" s="181">
        <f>SUM(C431:T431)</f>
        <v>921000</v>
      </c>
    </row>
    <row r="432" spans="1:21" ht="21" customHeight="1">
      <c r="A432" s="758" t="s">
        <v>253</v>
      </c>
      <c r="B432" s="759"/>
      <c r="C432" s="185">
        <f>+C431+C322</f>
        <v>20000</v>
      </c>
      <c r="D432" s="185">
        <f aca="true" t="shared" si="119" ref="D432:U432">+D431+D322</f>
        <v>0</v>
      </c>
      <c r="E432" s="185">
        <f t="shared" si="119"/>
        <v>0</v>
      </c>
      <c r="F432" s="185">
        <f t="shared" si="119"/>
        <v>0</v>
      </c>
      <c r="G432" s="185">
        <f t="shared" si="119"/>
        <v>1842000</v>
      </c>
      <c r="H432" s="185">
        <f t="shared" si="119"/>
        <v>0</v>
      </c>
      <c r="I432" s="185">
        <f t="shared" si="119"/>
        <v>0</v>
      </c>
      <c r="J432" s="185">
        <f t="shared" si="119"/>
        <v>0</v>
      </c>
      <c r="K432" s="185">
        <f t="shared" si="119"/>
        <v>0</v>
      </c>
      <c r="L432" s="185">
        <f t="shared" si="119"/>
        <v>0</v>
      </c>
      <c r="M432" s="185">
        <f t="shared" si="119"/>
        <v>71000</v>
      </c>
      <c r="N432" s="185">
        <f t="shared" si="119"/>
        <v>0</v>
      </c>
      <c r="O432" s="185">
        <f t="shared" si="119"/>
        <v>0</v>
      </c>
      <c r="P432" s="185">
        <f t="shared" si="119"/>
        <v>0</v>
      </c>
      <c r="Q432" s="185">
        <f t="shared" si="119"/>
        <v>0</v>
      </c>
      <c r="R432" s="185">
        <f t="shared" si="119"/>
        <v>0</v>
      </c>
      <c r="S432" s="185">
        <f t="shared" si="119"/>
        <v>0</v>
      </c>
      <c r="T432" s="185">
        <f t="shared" si="119"/>
        <v>0</v>
      </c>
      <c r="U432" s="185">
        <f t="shared" si="119"/>
        <v>1933000</v>
      </c>
    </row>
    <row r="433" spans="1:21" ht="21" customHeight="1">
      <c r="A433" s="771" t="s">
        <v>304</v>
      </c>
      <c r="B433" s="772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434"/>
      <c r="N433" s="186"/>
      <c r="O433" s="186"/>
      <c r="P433" s="186"/>
      <c r="Q433" s="186"/>
      <c r="R433" s="186"/>
      <c r="S433" s="186"/>
      <c r="T433" s="186"/>
      <c r="U433" s="187">
        <f>SUM(C433:T433)</f>
        <v>0</v>
      </c>
    </row>
    <row r="434" spans="1:21" ht="21" customHeight="1">
      <c r="A434" s="179">
        <v>551000</v>
      </c>
      <c r="B434" s="180" t="s">
        <v>12</v>
      </c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431"/>
      <c r="N434" s="91"/>
      <c r="O434" s="91"/>
      <c r="P434" s="91"/>
      <c r="Q434" s="91"/>
      <c r="R434" s="91"/>
      <c r="S434" s="91"/>
      <c r="T434" s="91"/>
      <c r="U434" s="181">
        <f>SUM(C434:T434)</f>
        <v>0</v>
      </c>
    </row>
    <row r="435" spans="1:21" ht="21" customHeight="1">
      <c r="A435" s="182">
        <v>510100</v>
      </c>
      <c r="B435" s="183" t="s">
        <v>305</v>
      </c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432"/>
      <c r="N435" s="115"/>
      <c r="O435" s="115"/>
      <c r="P435" s="115"/>
      <c r="Q435" s="115"/>
      <c r="R435" s="115"/>
      <c r="S435" s="115"/>
      <c r="T435" s="115"/>
      <c r="U435" s="184">
        <f>SUM(C435:T435)</f>
        <v>0</v>
      </c>
    </row>
    <row r="436" spans="1:21" ht="21" customHeight="1">
      <c r="A436" s="756" t="s">
        <v>252</v>
      </c>
      <c r="B436" s="757"/>
      <c r="C436" s="181">
        <f>SUM(C434:C435)</f>
        <v>0</v>
      </c>
      <c r="D436" s="181">
        <f aca="true" t="shared" si="120" ref="D436:O436">SUM(D434:D435)</f>
        <v>0</v>
      </c>
      <c r="E436" s="181">
        <f t="shared" si="120"/>
        <v>0</v>
      </c>
      <c r="F436" s="181">
        <f t="shared" si="120"/>
        <v>0</v>
      </c>
      <c r="G436" s="181">
        <f t="shared" si="120"/>
        <v>0</v>
      </c>
      <c r="H436" s="181">
        <f t="shared" si="120"/>
        <v>0</v>
      </c>
      <c r="I436" s="181">
        <f t="shared" si="120"/>
        <v>0</v>
      </c>
      <c r="J436" s="181">
        <f t="shared" si="120"/>
        <v>0</v>
      </c>
      <c r="K436" s="181">
        <f t="shared" si="120"/>
        <v>0</v>
      </c>
      <c r="L436" s="181">
        <f t="shared" si="120"/>
        <v>0</v>
      </c>
      <c r="M436" s="433">
        <f t="shared" si="120"/>
        <v>0</v>
      </c>
      <c r="N436" s="181">
        <f t="shared" si="120"/>
        <v>0</v>
      </c>
      <c r="O436" s="181">
        <f t="shared" si="120"/>
        <v>0</v>
      </c>
      <c r="P436" s="181"/>
      <c r="Q436" s="181">
        <f>SUM(Q434:Q435)</f>
        <v>0</v>
      </c>
      <c r="R436" s="181">
        <f>SUM(R434:R435)</f>
        <v>0</v>
      </c>
      <c r="S436" s="181">
        <f>SUM(S434:S435)</f>
        <v>0</v>
      </c>
      <c r="T436" s="181">
        <f>SUM(T434:T435)</f>
        <v>0</v>
      </c>
      <c r="U436" s="181">
        <f>SUM(C436:T436)</f>
        <v>0</v>
      </c>
    </row>
    <row r="437" spans="1:22" ht="21" customHeight="1">
      <c r="A437" s="758" t="s">
        <v>253</v>
      </c>
      <c r="B437" s="759"/>
      <c r="C437" s="185">
        <f>+C436+C327</f>
        <v>0</v>
      </c>
      <c r="D437" s="185">
        <f aca="true" t="shared" si="121" ref="D437:U437">+D436+D327</f>
        <v>0</v>
      </c>
      <c r="E437" s="185">
        <f t="shared" si="121"/>
        <v>0</v>
      </c>
      <c r="F437" s="185">
        <f t="shared" si="121"/>
        <v>0</v>
      </c>
      <c r="G437" s="185">
        <f t="shared" si="121"/>
        <v>0</v>
      </c>
      <c r="H437" s="185">
        <f t="shared" si="121"/>
        <v>0</v>
      </c>
      <c r="I437" s="185">
        <f t="shared" si="121"/>
        <v>0</v>
      </c>
      <c r="J437" s="185">
        <f t="shared" si="121"/>
        <v>0</v>
      </c>
      <c r="K437" s="185">
        <f t="shared" si="121"/>
        <v>0</v>
      </c>
      <c r="L437" s="185">
        <f t="shared" si="121"/>
        <v>0</v>
      </c>
      <c r="M437" s="185">
        <f t="shared" si="121"/>
        <v>0</v>
      </c>
      <c r="N437" s="185">
        <f t="shared" si="121"/>
        <v>0</v>
      </c>
      <c r="O437" s="185">
        <f t="shared" si="121"/>
        <v>0</v>
      </c>
      <c r="P437" s="185">
        <f t="shared" si="121"/>
        <v>0</v>
      </c>
      <c r="Q437" s="185">
        <f t="shared" si="121"/>
        <v>0</v>
      </c>
      <c r="R437" s="185">
        <f t="shared" si="121"/>
        <v>0</v>
      </c>
      <c r="S437" s="185">
        <f t="shared" si="121"/>
        <v>0</v>
      </c>
      <c r="T437" s="185">
        <f t="shared" si="121"/>
        <v>0</v>
      </c>
      <c r="U437" s="185">
        <f t="shared" si="121"/>
        <v>0</v>
      </c>
      <c r="V437" s="177">
        <f>+U329+U438</f>
        <v>7780147.24</v>
      </c>
    </row>
    <row r="438" spans="1:22" ht="21" customHeight="1">
      <c r="A438" s="760" t="s">
        <v>252</v>
      </c>
      <c r="B438" s="761"/>
      <c r="C438" s="56">
        <f aca="true" t="shared" si="122" ref="C438:T438">SUM(C344,C352,C364,C373,C380,C397,C404,C418,C425,C431,C436)</f>
        <v>845783.4</v>
      </c>
      <c r="D438" s="56">
        <f t="shared" si="122"/>
        <v>131365.58000000002</v>
      </c>
      <c r="E438" s="56">
        <f t="shared" si="122"/>
        <v>13240</v>
      </c>
      <c r="F438" s="56">
        <f t="shared" si="122"/>
        <v>3600</v>
      </c>
      <c r="G438" s="56">
        <f t="shared" si="122"/>
        <v>1152600</v>
      </c>
      <c r="H438" s="56">
        <f t="shared" si="122"/>
        <v>22900</v>
      </c>
      <c r="I438" s="56">
        <f t="shared" si="122"/>
        <v>0</v>
      </c>
      <c r="J438" s="56">
        <f t="shared" si="122"/>
        <v>132765</v>
      </c>
      <c r="K438" s="56">
        <f t="shared" si="122"/>
        <v>33700</v>
      </c>
      <c r="L438" s="56">
        <f t="shared" si="122"/>
        <v>67403.75</v>
      </c>
      <c r="M438" s="435">
        <f t="shared" si="122"/>
        <v>4030</v>
      </c>
      <c r="N438" s="56">
        <f t="shared" si="122"/>
        <v>0</v>
      </c>
      <c r="O438" s="56">
        <f t="shared" si="122"/>
        <v>144400</v>
      </c>
      <c r="P438" s="56">
        <f t="shared" si="122"/>
        <v>0</v>
      </c>
      <c r="Q438" s="56">
        <f t="shared" si="122"/>
        <v>0</v>
      </c>
      <c r="R438" s="56">
        <f t="shared" si="122"/>
        <v>0</v>
      </c>
      <c r="S438" s="56">
        <f t="shared" si="122"/>
        <v>53360.16</v>
      </c>
      <c r="T438" s="56">
        <f t="shared" si="122"/>
        <v>21732</v>
      </c>
      <c r="U438" s="56">
        <f>SUM(C438:T438)</f>
        <v>2626879.89</v>
      </c>
      <c r="V438" s="177">
        <f>2612919.89+13960</f>
        <v>2626879.89</v>
      </c>
    </row>
    <row r="439" spans="1:22" ht="21" customHeight="1">
      <c r="A439" s="760" t="s">
        <v>253</v>
      </c>
      <c r="B439" s="761"/>
      <c r="C439" s="56">
        <f aca="true" t="shared" si="123" ref="C439:T439">SUM(C345,C353,C365,C374,C381,C398,C405,C419,C426,C432,C437)</f>
        <v>3032268.83</v>
      </c>
      <c r="D439" s="56">
        <f t="shared" si="123"/>
        <v>475599.58</v>
      </c>
      <c r="E439" s="56">
        <f t="shared" si="123"/>
        <v>13240</v>
      </c>
      <c r="F439" s="56">
        <f t="shared" si="123"/>
        <v>38160</v>
      </c>
      <c r="G439" s="56">
        <f t="shared" si="123"/>
        <v>2365200</v>
      </c>
      <c r="H439" s="56">
        <f t="shared" si="123"/>
        <v>89285</v>
      </c>
      <c r="I439" s="56">
        <f t="shared" si="123"/>
        <v>0</v>
      </c>
      <c r="J439" s="56">
        <f t="shared" si="123"/>
        <v>314830</v>
      </c>
      <c r="K439" s="56">
        <f t="shared" si="123"/>
        <v>132200</v>
      </c>
      <c r="L439" s="56">
        <f t="shared" si="123"/>
        <v>215481.25</v>
      </c>
      <c r="M439" s="435">
        <f t="shared" si="123"/>
        <v>167135</v>
      </c>
      <c r="N439" s="56">
        <f t="shared" si="123"/>
        <v>10000</v>
      </c>
      <c r="O439" s="56">
        <f t="shared" si="123"/>
        <v>163890</v>
      </c>
      <c r="P439" s="56">
        <f t="shared" si="123"/>
        <v>0</v>
      </c>
      <c r="Q439" s="56">
        <f t="shared" si="123"/>
        <v>0</v>
      </c>
      <c r="R439" s="56">
        <f t="shared" si="123"/>
        <v>0</v>
      </c>
      <c r="S439" s="56">
        <f t="shared" si="123"/>
        <v>181137.97</v>
      </c>
      <c r="T439" s="56">
        <f t="shared" si="123"/>
        <v>581719.61</v>
      </c>
      <c r="U439" s="56">
        <f>SUM(C439:T439)</f>
        <v>7780147.24</v>
      </c>
      <c r="V439" s="177">
        <f>+U438-V438</f>
        <v>0</v>
      </c>
    </row>
    <row r="440" spans="1:21" ht="21" customHeight="1">
      <c r="A440" s="763" t="s">
        <v>621</v>
      </c>
      <c r="B440" s="763"/>
      <c r="C440" s="763"/>
      <c r="D440" s="763"/>
      <c r="E440" s="763"/>
      <c r="F440" s="763"/>
      <c r="G440" s="763"/>
      <c r="H440" s="763"/>
      <c r="I440" s="763"/>
      <c r="J440" s="763"/>
      <c r="K440" s="763"/>
      <c r="L440" s="763"/>
      <c r="M440" s="762" t="str">
        <f>+A440</f>
        <v>เทศบาลตำบลเขาพระ อำเภอพิปูน จังหวัดนครศรีธรรมราช</v>
      </c>
      <c r="N440" s="762"/>
      <c r="O440" s="762"/>
      <c r="P440" s="762"/>
      <c r="Q440" s="762"/>
      <c r="R440" s="762"/>
      <c r="S440" s="762"/>
      <c r="T440" s="762"/>
      <c r="U440" s="762"/>
    </row>
    <row r="441" spans="1:21" ht="21" customHeight="1">
      <c r="A441" s="763" t="s">
        <v>215</v>
      </c>
      <c r="B441" s="763"/>
      <c r="C441" s="763"/>
      <c r="D441" s="763"/>
      <c r="E441" s="763"/>
      <c r="F441" s="763"/>
      <c r="G441" s="763"/>
      <c r="H441" s="763"/>
      <c r="I441" s="763"/>
      <c r="J441" s="763"/>
      <c r="K441" s="763"/>
      <c r="L441" s="763"/>
      <c r="M441" s="763" t="s">
        <v>215</v>
      </c>
      <c r="N441" s="763"/>
      <c r="O441" s="763"/>
      <c r="P441" s="763"/>
      <c r="Q441" s="763"/>
      <c r="R441" s="763"/>
      <c r="S441" s="763"/>
      <c r="T441" s="763"/>
      <c r="U441" s="763"/>
    </row>
    <row r="442" spans="1:21" ht="21" customHeight="1">
      <c r="A442" s="764" t="s">
        <v>667</v>
      </c>
      <c r="B442" s="764"/>
      <c r="C442" s="764"/>
      <c r="D442" s="764"/>
      <c r="E442" s="764"/>
      <c r="F442" s="764"/>
      <c r="G442" s="764"/>
      <c r="H442" s="764"/>
      <c r="I442" s="764"/>
      <c r="J442" s="764"/>
      <c r="K442" s="764"/>
      <c r="L442" s="764"/>
      <c r="M442" s="764" t="s">
        <v>667</v>
      </c>
      <c r="N442" s="764"/>
      <c r="O442" s="764"/>
      <c r="P442" s="764"/>
      <c r="Q442" s="764"/>
      <c r="R442" s="764"/>
      <c r="S442" s="764"/>
      <c r="T442" s="764"/>
      <c r="U442" s="764"/>
    </row>
    <row r="443" spans="1:21" ht="21" customHeight="1">
      <c r="A443" s="769" t="s">
        <v>216</v>
      </c>
      <c r="B443" s="769"/>
      <c r="C443" s="768" t="s">
        <v>218</v>
      </c>
      <c r="D443" s="768"/>
      <c r="E443" s="501" t="s">
        <v>221</v>
      </c>
      <c r="F443" s="768" t="s">
        <v>223</v>
      </c>
      <c r="G443" s="769"/>
      <c r="H443" s="501" t="s">
        <v>237</v>
      </c>
      <c r="I443" s="501" t="s">
        <v>238</v>
      </c>
      <c r="J443" s="765" t="s">
        <v>239</v>
      </c>
      <c r="K443" s="766"/>
      <c r="L443" s="767"/>
      <c r="M443" s="502" t="s">
        <v>240</v>
      </c>
      <c r="N443" s="765" t="s">
        <v>241</v>
      </c>
      <c r="O443" s="766"/>
      <c r="P443" s="767"/>
      <c r="Q443" s="768" t="s">
        <v>242</v>
      </c>
      <c r="R443" s="769"/>
      <c r="S443" s="501" t="s">
        <v>306</v>
      </c>
      <c r="T443" s="501" t="s">
        <v>243</v>
      </c>
      <c r="U443" s="770" t="s">
        <v>17</v>
      </c>
    </row>
    <row r="444" spans="1:21" ht="21" customHeight="1">
      <c r="A444" s="769" t="s">
        <v>217</v>
      </c>
      <c r="B444" s="769"/>
      <c r="C444" s="501" t="s">
        <v>219</v>
      </c>
      <c r="D444" s="501" t="s">
        <v>220</v>
      </c>
      <c r="E444" s="501" t="s">
        <v>312</v>
      </c>
      <c r="F444" s="501" t="s">
        <v>224</v>
      </c>
      <c r="G444" s="501" t="s">
        <v>225</v>
      </c>
      <c r="H444" s="501" t="s">
        <v>227</v>
      </c>
      <c r="I444" s="501" t="s">
        <v>228</v>
      </c>
      <c r="J444" s="501" t="s">
        <v>229</v>
      </c>
      <c r="K444" s="501" t="s">
        <v>230</v>
      </c>
      <c r="L444" s="501" t="s">
        <v>431</v>
      </c>
      <c r="M444" s="502" t="s">
        <v>231</v>
      </c>
      <c r="N444" s="501" t="s">
        <v>232</v>
      </c>
      <c r="O444" s="501" t="s">
        <v>233</v>
      </c>
      <c r="P444" s="501" t="s">
        <v>314</v>
      </c>
      <c r="Q444" s="501" t="s">
        <v>234</v>
      </c>
      <c r="R444" s="501" t="s">
        <v>235</v>
      </c>
      <c r="S444" s="501" t="s">
        <v>307</v>
      </c>
      <c r="T444" s="501" t="s">
        <v>236</v>
      </c>
      <c r="U444" s="770"/>
    </row>
    <row r="445" spans="1:21" ht="21" customHeight="1">
      <c r="A445" s="771" t="s">
        <v>290</v>
      </c>
      <c r="B445" s="772"/>
      <c r="C445" s="178"/>
      <c r="D445" s="178"/>
      <c r="E445" s="178"/>
      <c r="F445" s="178"/>
      <c r="G445" s="178"/>
      <c r="H445" s="178"/>
      <c r="I445" s="178"/>
      <c r="J445" s="178"/>
      <c r="K445" s="178"/>
      <c r="L445" s="178"/>
      <c r="M445" s="430"/>
      <c r="N445" s="178"/>
      <c r="O445" s="178"/>
      <c r="P445" s="178"/>
      <c r="Q445" s="178"/>
      <c r="R445" s="178"/>
      <c r="S445" s="178"/>
      <c r="T445" s="178"/>
      <c r="U445" s="178"/>
    </row>
    <row r="446" spans="1:21" ht="21" customHeight="1">
      <c r="A446" s="179">
        <v>110300</v>
      </c>
      <c r="B446" s="180" t="s">
        <v>244</v>
      </c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431"/>
      <c r="N446" s="91"/>
      <c r="O446" s="91"/>
      <c r="P446" s="91"/>
      <c r="Q446" s="91"/>
      <c r="R446" s="91"/>
      <c r="S446" s="91"/>
      <c r="T446" s="91">
        <f>45+7950</f>
        <v>7995</v>
      </c>
      <c r="U446" s="181">
        <f>SUM(C446:T446)</f>
        <v>7995</v>
      </c>
    </row>
    <row r="447" spans="1:21" ht="21" customHeight="1">
      <c r="A447" s="179">
        <v>110700</v>
      </c>
      <c r="B447" s="180" t="s">
        <v>127</v>
      </c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431"/>
      <c r="N447" s="91"/>
      <c r="O447" s="91"/>
      <c r="P447" s="91"/>
      <c r="Q447" s="91"/>
      <c r="R447" s="91"/>
      <c r="S447" s="91"/>
      <c r="T447" s="91"/>
      <c r="U447" s="181">
        <f aca="true" t="shared" si="124" ref="U447:U452">SUM(C447:T447)</f>
        <v>0</v>
      </c>
    </row>
    <row r="448" spans="1:21" ht="21" customHeight="1">
      <c r="A448" s="179">
        <v>110800</v>
      </c>
      <c r="B448" s="180" t="s">
        <v>133</v>
      </c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431"/>
      <c r="N448" s="91"/>
      <c r="O448" s="91"/>
      <c r="P448" s="91"/>
      <c r="Q448" s="91"/>
      <c r="R448" s="91"/>
      <c r="S448" s="91"/>
      <c r="T448" s="91"/>
      <c r="U448" s="181">
        <f t="shared" si="124"/>
        <v>0</v>
      </c>
    </row>
    <row r="449" spans="1:21" ht="21" customHeight="1">
      <c r="A449" s="179">
        <v>110900</v>
      </c>
      <c r="B449" s="180" t="s">
        <v>134</v>
      </c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431"/>
      <c r="N449" s="91"/>
      <c r="O449" s="91"/>
      <c r="P449" s="91"/>
      <c r="Q449" s="91"/>
      <c r="R449" s="91"/>
      <c r="S449" s="91"/>
      <c r="T449" s="91">
        <v>7000</v>
      </c>
      <c r="U449" s="181">
        <f t="shared" si="124"/>
        <v>7000</v>
      </c>
    </row>
    <row r="450" spans="1:21" ht="21" customHeight="1">
      <c r="A450" s="179">
        <v>111000</v>
      </c>
      <c r="B450" s="180" t="s">
        <v>135</v>
      </c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431"/>
      <c r="N450" s="91"/>
      <c r="O450" s="91"/>
      <c r="P450" s="91"/>
      <c r="Q450" s="91"/>
      <c r="R450" s="91"/>
      <c r="S450" s="91"/>
      <c r="T450" s="91"/>
      <c r="U450" s="181">
        <f t="shared" si="124"/>
        <v>0</v>
      </c>
    </row>
    <row r="451" spans="1:21" ht="21" customHeight="1">
      <c r="A451" s="179">
        <v>111100</v>
      </c>
      <c r="B451" s="180" t="s">
        <v>246</v>
      </c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431"/>
      <c r="N451" s="91"/>
      <c r="O451" s="91"/>
      <c r="P451" s="91"/>
      <c r="Q451" s="91"/>
      <c r="R451" s="91"/>
      <c r="S451" s="91"/>
      <c r="T451" s="91"/>
      <c r="U451" s="181">
        <f t="shared" si="124"/>
        <v>0</v>
      </c>
    </row>
    <row r="452" spans="1:21" ht="21" customHeight="1">
      <c r="A452" s="179">
        <v>111200</v>
      </c>
      <c r="B452" s="180" t="s">
        <v>528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431"/>
      <c r="N452" s="91"/>
      <c r="O452" s="91"/>
      <c r="P452" s="91"/>
      <c r="Q452" s="91"/>
      <c r="R452" s="91"/>
      <c r="S452" s="91"/>
      <c r="T452" s="91"/>
      <c r="U452" s="181">
        <f t="shared" si="124"/>
        <v>0</v>
      </c>
    </row>
    <row r="453" spans="1:21" ht="21" customHeight="1">
      <c r="A453" s="182">
        <v>120100</v>
      </c>
      <c r="B453" s="183" t="s">
        <v>245</v>
      </c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432"/>
      <c r="N453" s="115"/>
      <c r="O453" s="115"/>
      <c r="P453" s="115"/>
      <c r="Q453" s="115"/>
      <c r="R453" s="115"/>
      <c r="S453" s="115"/>
      <c r="T453" s="115"/>
      <c r="U453" s="184">
        <f>SUM(C453:T453)</f>
        <v>0</v>
      </c>
    </row>
    <row r="454" spans="1:21" ht="21" customHeight="1">
      <c r="A454" s="756" t="s">
        <v>252</v>
      </c>
      <c r="B454" s="757"/>
      <c r="C454" s="181">
        <f>SUM(C446:C453)</f>
        <v>0</v>
      </c>
      <c r="D454" s="181">
        <f aca="true" t="shared" si="125" ref="D454:J454">SUM(D446:D453)</f>
        <v>0</v>
      </c>
      <c r="E454" s="181">
        <f t="shared" si="125"/>
        <v>0</v>
      </c>
      <c r="F454" s="181">
        <f t="shared" si="125"/>
        <v>0</v>
      </c>
      <c r="G454" s="181">
        <f t="shared" si="125"/>
        <v>0</v>
      </c>
      <c r="H454" s="181">
        <f t="shared" si="125"/>
        <v>0</v>
      </c>
      <c r="I454" s="181">
        <f t="shared" si="125"/>
        <v>0</v>
      </c>
      <c r="J454" s="181">
        <f t="shared" si="125"/>
        <v>0</v>
      </c>
      <c r="K454" s="181">
        <f>SUM(K446:K453)</f>
        <v>0</v>
      </c>
      <c r="L454" s="181">
        <f>SUM(L446:L453)</f>
        <v>0</v>
      </c>
      <c r="M454" s="433">
        <f>SUM(M446:M453)</f>
        <v>0</v>
      </c>
      <c r="N454" s="181">
        <f>SUM(N446:N453)</f>
        <v>0</v>
      </c>
      <c r="O454" s="181">
        <f>SUM(O446:O453)</f>
        <v>0</v>
      </c>
      <c r="P454" s="181"/>
      <c r="Q454" s="181">
        <f>SUM(Q446:Q453)</f>
        <v>0</v>
      </c>
      <c r="R454" s="181">
        <f>SUM(R446:R453)</f>
        <v>0</v>
      </c>
      <c r="S454" s="181">
        <f>SUM(S446:S453)</f>
        <v>0</v>
      </c>
      <c r="T454" s="181">
        <f>SUM(T446:T453)</f>
        <v>14995</v>
      </c>
      <c r="U454" s="181">
        <f>SUM(C454:T454)</f>
        <v>14995</v>
      </c>
    </row>
    <row r="455" spans="1:21" ht="21" customHeight="1">
      <c r="A455" s="758" t="s">
        <v>253</v>
      </c>
      <c r="B455" s="759"/>
      <c r="C455" s="185">
        <f>+C454+C345</f>
        <v>0</v>
      </c>
      <c r="D455" s="185">
        <f aca="true" t="shared" si="126" ref="D455:U455">+D454+D345</f>
        <v>0</v>
      </c>
      <c r="E455" s="185">
        <f t="shared" si="126"/>
        <v>0</v>
      </c>
      <c r="F455" s="185">
        <f t="shared" si="126"/>
        <v>0</v>
      </c>
      <c r="G455" s="185">
        <f t="shared" si="126"/>
        <v>0</v>
      </c>
      <c r="H455" s="185">
        <f t="shared" si="126"/>
        <v>0</v>
      </c>
      <c r="I455" s="185">
        <f t="shared" si="126"/>
        <v>0</v>
      </c>
      <c r="J455" s="185">
        <f t="shared" si="126"/>
        <v>0</v>
      </c>
      <c r="K455" s="185">
        <f t="shared" si="126"/>
        <v>0</v>
      </c>
      <c r="L455" s="185">
        <f t="shared" si="126"/>
        <v>0</v>
      </c>
      <c r="M455" s="185">
        <f t="shared" si="126"/>
        <v>0</v>
      </c>
      <c r="N455" s="185">
        <f t="shared" si="126"/>
        <v>0</v>
      </c>
      <c r="O455" s="185">
        <f t="shared" si="126"/>
        <v>0</v>
      </c>
      <c r="P455" s="185">
        <f t="shared" si="126"/>
        <v>0</v>
      </c>
      <c r="Q455" s="185">
        <f t="shared" si="126"/>
        <v>0</v>
      </c>
      <c r="R455" s="185">
        <f t="shared" si="126"/>
        <v>0</v>
      </c>
      <c r="S455" s="185">
        <f t="shared" si="126"/>
        <v>0</v>
      </c>
      <c r="T455" s="185">
        <f t="shared" si="126"/>
        <v>596714.61</v>
      </c>
      <c r="U455" s="185">
        <f t="shared" si="126"/>
        <v>596714.61</v>
      </c>
    </row>
    <row r="456" spans="1:21" ht="21" customHeight="1">
      <c r="A456" s="771" t="s">
        <v>291</v>
      </c>
      <c r="B456" s="772"/>
      <c r="C456" s="186"/>
      <c r="D456" s="186"/>
      <c r="E456" s="186"/>
      <c r="F456" s="186"/>
      <c r="G456" s="186"/>
      <c r="H456" s="186"/>
      <c r="I456" s="186"/>
      <c r="J456" s="186"/>
      <c r="K456" s="186"/>
      <c r="L456" s="186"/>
      <c r="M456" s="434"/>
      <c r="N456" s="186"/>
      <c r="O456" s="186"/>
      <c r="P456" s="186"/>
      <c r="Q456" s="186"/>
      <c r="R456" s="186"/>
      <c r="S456" s="186"/>
      <c r="T456" s="186"/>
      <c r="U456" s="187">
        <f aca="true" t="shared" si="127" ref="U456:U461">SUM(C456:T456)</f>
        <v>0</v>
      </c>
    </row>
    <row r="457" spans="1:21" ht="21" customHeight="1">
      <c r="A457" s="179">
        <v>210100</v>
      </c>
      <c r="B457" s="83" t="s">
        <v>247</v>
      </c>
      <c r="C457" s="91">
        <v>57960</v>
      </c>
      <c r="D457" s="91"/>
      <c r="E457" s="91"/>
      <c r="F457" s="91"/>
      <c r="G457" s="91"/>
      <c r="H457" s="91"/>
      <c r="I457" s="91"/>
      <c r="J457" s="91">
        <v>0</v>
      </c>
      <c r="K457" s="91"/>
      <c r="L457" s="91"/>
      <c r="M457" s="431"/>
      <c r="N457" s="91"/>
      <c r="O457" s="91"/>
      <c r="P457" s="91"/>
      <c r="Q457" s="91"/>
      <c r="R457" s="91"/>
      <c r="S457" s="91"/>
      <c r="T457" s="91"/>
      <c r="U457" s="181">
        <f t="shared" si="127"/>
        <v>57960</v>
      </c>
    </row>
    <row r="458" spans="1:21" ht="21" customHeight="1">
      <c r="A458" s="179">
        <v>210200</v>
      </c>
      <c r="B458" s="83" t="s">
        <v>251</v>
      </c>
      <c r="C458" s="91">
        <v>10000</v>
      </c>
      <c r="D458" s="91"/>
      <c r="E458" s="91"/>
      <c r="F458" s="91"/>
      <c r="G458" s="91"/>
      <c r="H458" s="91"/>
      <c r="I458" s="91"/>
      <c r="J458" s="91"/>
      <c r="K458" s="91"/>
      <c r="L458" s="91"/>
      <c r="M458" s="431"/>
      <c r="N458" s="91"/>
      <c r="O458" s="91"/>
      <c r="P458" s="91"/>
      <c r="Q458" s="91"/>
      <c r="R458" s="91"/>
      <c r="S458" s="91"/>
      <c r="T458" s="91"/>
      <c r="U458" s="181">
        <f t="shared" si="127"/>
        <v>10000</v>
      </c>
    </row>
    <row r="459" spans="1:21" ht="21" customHeight="1">
      <c r="A459" s="179">
        <v>210300</v>
      </c>
      <c r="B459" s="83" t="s">
        <v>248</v>
      </c>
      <c r="C459" s="91">
        <v>10000</v>
      </c>
      <c r="D459" s="91"/>
      <c r="E459" s="91"/>
      <c r="F459" s="91"/>
      <c r="G459" s="91"/>
      <c r="H459" s="91"/>
      <c r="I459" s="91"/>
      <c r="J459" s="91"/>
      <c r="K459" s="91"/>
      <c r="L459" s="91"/>
      <c r="M459" s="431"/>
      <c r="N459" s="91"/>
      <c r="O459" s="91"/>
      <c r="P459" s="91"/>
      <c r="Q459" s="91"/>
      <c r="R459" s="91"/>
      <c r="S459" s="91"/>
      <c r="T459" s="91"/>
      <c r="U459" s="181">
        <f t="shared" si="127"/>
        <v>10000</v>
      </c>
    </row>
    <row r="460" spans="1:21" ht="21" customHeight="1">
      <c r="A460" s="179">
        <v>210400</v>
      </c>
      <c r="B460" s="83" t="s">
        <v>249</v>
      </c>
      <c r="C460" s="91">
        <v>16560</v>
      </c>
      <c r="D460" s="91"/>
      <c r="E460" s="91"/>
      <c r="F460" s="91"/>
      <c r="G460" s="91"/>
      <c r="H460" s="91"/>
      <c r="I460" s="91"/>
      <c r="J460" s="91"/>
      <c r="K460" s="91"/>
      <c r="L460" s="91"/>
      <c r="M460" s="431"/>
      <c r="N460" s="91"/>
      <c r="O460" s="91"/>
      <c r="P460" s="91"/>
      <c r="Q460" s="91"/>
      <c r="R460" s="91"/>
      <c r="S460" s="91"/>
      <c r="T460" s="91"/>
      <c r="U460" s="181">
        <f t="shared" si="127"/>
        <v>16560</v>
      </c>
    </row>
    <row r="461" spans="1:21" ht="21" customHeight="1">
      <c r="A461" s="182">
        <v>210600</v>
      </c>
      <c r="B461" s="84" t="s">
        <v>250</v>
      </c>
      <c r="C461" s="91">
        <v>124200</v>
      </c>
      <c r="D461" s="115"/>
      <c r="E461" s="115"/>
      <c r="F461" s="115"/>
      <c r="G461" s="115"/>
      <c r="H461" s="115"/>
      <c r="I461" s="115"/>
      <c r="J461" s="115"/>
      <c r="K461" s="115"/>
      <c r="L461" s="115"/>
      <c r="M461" s="432"/>
      <c r="N461" s="115"/>
      <c r="O461" s="115"/>
      <c r="P461" s="115"/>
      <c r="Q461" s="115"/>
      <c r="R461" s="115"/>
      <c r="S461" s="115"/>
      <c r="T461" s="115"/>
      <c r="U461" s="184">
        <f t="shared" si="127"/>
        <v>124200</v>
      </c>
    </row>
    <row r="462" spans="1:21" ht="21" customHeight="1">
      <c r="A462" s="756" t="s">
        <v>252</v>
      </c>
      <c r="B462" s="757"/>
      <c r="C462" s="181">
        <f>SUM(C457:C461)</f>
        <v>218720</v>
      </c>
      <c r="D462" s="181">
        <f>SUM(D456:D461)</f>
        <v>0</v>
      </c>
      <c r="E462" s="181">
        <f aca="true" t="shared" si="128" ref="E462:J462">SUM(E456:E461)</f>
        <v>0</v>
      </c>
      <c r="F462" s="181">
        <f t="shared" si="128"/>
        <v>0</v>
      </c>
      <c r="G462" s="181">
        <f t="shared" si="128"/>
        <v>0</v>
      </c>
      <c r="H462" s="181">
        <f t="shared" si="128"/>
        <v>0</v>
      </c>
      <c r="I462" s="181">
        <f t="shared" si="128"/>
        <v>0</v>
      </c>
      <c r="J462" s="181">
        <f t="shared" si="128"/>
        <v>0</v>
      </c>
      <c r="K462" s="181">
        <f>SUM(K456:K461)</f>
        <v>0</v>
      </c>
      <c r="L462" s="181">
        <f>SUM(L456:L461)</f>
        <v>0</v>
      </c>
      <c r="M462" s="433">
        <f>SUM(M456:M461)</f>
        <v>0</v>
      </c>
      <c r="N462" s="181">
        <f>SUM(N456:N461)</f>
        <v>0</v>
      </c>
      <c r="O462" s="181">
        <f>SUM(O456:O461)</f>
        <v>0</v>
      </c>
      <c r="P462" s="181"/>
      <c r="Q462" s="181">
        <f>SUM(Q456:Q461)</f>
        <v>0</v>
      </c>
      <c r="R462" s="181">
        <f>SUM(R456:R461)</f>
        <v>0</v>
      </c>
      <c r="S462" s="181">
        <f>SUM(S456:S461)</f>
        <v>0</v>
      </c>
      <c r="T462" s="181">
        <f>SUM(T456:T461)</f>
        <v>0</v>
      </c>
      <c r="U462" s="181">
        <f>SUM(C462:T462)</f>
        <v>218720</v>
      </c>
    </row>
    <row r="463" spans="1:21" ht="21" customHeight="1">
      <c r="A463" s="758" t="s">
        <v>253</v>
      </c>
      <c r="B463" s="759"/>
      <c r="C463" s="181">
        <f>+C462+C353</f>
        <v>1083618</v>
      </c>
      <c r="D463" s="181">
        <f aca="true" t="shared" si="129" ref="D463:U463">+D462+D353</f>
        <v>0</v>
      </c>
      <c r="E463" s="181">
        <f t="shared" si="129"/>
        <v>0</v>
      </c>
      <c r="F463" s="181">
        <f t="shared" si="129"/>
        <v>0</v>
      </c>
      <c r="G463" s="181">
        <f t="shared" si="129"/>
        <v>0</v>
      </c>
      <c r="H463" s="181">
        <f t="shared" si="129"/>
        <v>0</v>
      </c>
      <c r="I463" s="181">
        <f t="shared" si="129"/>
        <v>0</v>
      </c>
      <c r="J463" s="181">
        <f t="shared" si="129"/>
        <v>0</v>
      </c>
      <c r="K463" s="181">
        <f t="shared" si="129"/>
        <v>0</v>
      </c>
      <c r="L463" s="181">
        <f t="shared" si="129"/>
        <v>0</v>
      </c>
      <c r="M463" s="181">
        <f t="shared" si="129"/>
        <v>0</v>
      </c>
      <c r="N463" s="181">
        <f t="shared" si="129"/>
        <v>0</v>
      </c>
      <c r="O463" s="181">
        <f t="shared" si="129"/>
        <v>0</v>
      </c>
      <c r="P463" s="181">
        <f t="shared" si="129"/>
        <v>0</v>
      </c>
      <c r="Q463" s="181">
        <f t="shared" si="129"/>
        <v>0</v>
      </c>
      <c r="R463" s="181">
        <f t="shared" si="129"/>
        <v>0</v>
      </c>
      <c r="S463" s="181">
        <f t="shared" si="129"/>
        <v>0</v>
      </c>
      <c r="T463" s="181">
        <f t="shared" si="129"/>
        <v>0</v>
      </c>
      <c r="U463" s="181">
        <f t="shared" si="129"/>
        <v>1083618</v>
      </c>
    </row>
    <row r="464" spans="1:21" ht="21" customHeight="1">
      <c r="A464" s="771" t="s">
        <v>292</v>
      </c>
      <c r="B464" s="772"/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  <c r="M464" s="434"/>
      <c r="N464" s="186"/>
      <c r="O464" s="186"/>
      <c r="P464" s="186"/>
      <c r="Q464" s="186"/>
      <c r="R464" s="186"/>
      <c r="S464" s="186"/>
      <c r="T464" s="186"/>
      <c r="U464" s="187">
        <f aca="true" t="shared" si="130" ref="U464:U469">SUM(C464:T464)</f>
        <v>0</v>
      </c>
    </row>
    <row r="465" spans="1:21" ht="21" customHeight="1">
      <c r="A465" s="179">
        <v>220100</v>
      </c>
      <c r="B465" s="83" t="s">
        <v>254</v>
      </c>
      <c r="C465" s="91">
        <f>162127+178400-149.33</f>
        <v>340377.67</v>
      </c>
      <c r="D465" s="91">
        <f>91264+48280</f>
        <v>139544</v>
      </c>
      <c r="E465" s="91"/>
      <c r="F465" s="91"/>
      <c r="G465" s="91"/>
      <c r="H465" s="91"/>
      <c r="I465" s="91"/>
      <c r="J465" s="91">
        <f>94329+37320</f>
        <v>131649</v>
      </c>
      <c r="K465" s="91"/>
      <c r="L465" s="91"/>
      <c r="M465" s="431"/>
      <c r="N465" s="91"/>
      <c r="O465" s="91"/>
      <c r="P465" s="91"/>
      <c r="Q465" s="91"/>
      <c r="R465" s="91"/>
      <c r="S465" s="91"/>
      <c r="T465" s="91"/>
      <c r="U465" s="181">
        <f t="shared" si="130"/>
        <v>611570.6699999999</v>
      </c>
    </row>
    <row r="466" spans="1:21" ht="21" customHeight="1">
      <c r="A466" s="179">
        <v>220200</v>
      </c>
      <c r="B466" s="83" t="s">
        <v>255</v>
      </c>
      <c r="C466" s="91">
        <f>7590+1312</f>
        <v>8902</v>
      </c>
      <c r="D466" s="91">
        <v>5255</v>
      </c>
      <c r="E466" s="91"/>
      <c r="F466" s="91"/>
      <c r="G466" s="91"/>
      <c r="H466" s="91"/>
      <c r="I466" s="91"/>
      <c r="J466" s="91">
        <v>720</v>
      </c>
      <c r="K466" s="91"/>
      <c r="L466" s="91"/>
      <c r="M466" s="431"/>
      <c r="N466" s="91"/>
      <c r="O466" s="91"/>
      <c r="P466" s="91"/>
      <c r="Q466" s="91"/>
      <c r="R466" s="91"/>
      <c r="S466" s="91"/>
      <c r="T466" s="91"/>
      <c r="U466" s="181">
        <f t="shared" si="130"/>
        <v>14877</v>
      </c>
    </row>
    <row r="467" spans="1:21" ht="21" customHeight="1">
      <c r="A467" s="179">
        <v>220300</v>
      </c>
      <c r="B467" s="83" t="s">
        <v>256</v>
      </c>
      <c r="C467" s="91">
        <v>10500</v>
      </c>
      <c r="D467" s="91">
        <v>3500</v>
      </c>
      <c r="E467" s="91"/>
      <c r="F467" s="91"/>
      <c r="G467" s="91"/>
      <c r="H467" s="91"/>
      <c r="I467" s="91"/>
      <c r="J467" s="91"/>
      <c r="K467" s="91"/>
      <c r="L467" s="91"/>
      <c r="M467" s="431"/>
      <c r="N467" s="91"/>
      <c r="O467" s="91"/>
      <c r="P467" s="91"/>
      <c r="Q467" s="91"/>
      <c r="R467" s="91"/>
      <c r="S467" s="91"/>
      <c r="T467" s="91"/>
      <c r="U467" s="181">
        <f t="shared" si="130"/>
        <v>14000</v>
      </c>
    </row>
    <row r="468" spans="1:21" ht="21" customHeight="1">
      <c r="A468" s="179">
        <v>220400</v>
      </c>
      <c r="B468" s="83" t="s">
        <v>3</v>
      </c>
      <c r="C468" s="91"/>
      <c r="D468" s="91">
        <v>23730</v>
      </c>
      <c r="E468" s="91"/>
      <c r="F468" s="91"/>
      <c r="G468" s="91"/>
      <c r="H468" s="91"/>
      <c r="I468" s="91"/>
      <c r="J468" s="91"/>
      <c r="K468" s="91"/>
      <c r="L468" s="91"/>
      <c r="M468" s="431"/>
      <c r="N468" s="91"/>
      <c r="O468" s="91"/>
      <c r="P468" s="91"/>
      <c r="Q468" s="91"/>
      <c r="R468" s="91"/>
      <c r="S468" s="91"/>
      <c r="T468" s="91"/>
      <c r="U468" s="181">
        <f t="shared" si="130"/>
        <v>23730</v>
      </c>
    </row>
    <row r="469" spans="1:21" ht="21" customHeight="1">
      <c r="A469" s="179">
        <v>220500</v>
      </c>
      <c r="B469" s="83" t="s">
        <v>257</v>
      </c>
      <c r="C469" s="91"/>
      <c r="D469" s="91">
        <v>3555</v>
      </c>
      <c r="E469" s="91"/>
      <c r="F469" s="91"/>
      <c r="G469" s="91"/>
      <c r="H469" s="91"/>
      <c r="I469" s="91"/>
      <c r="J469" s="91"/>
      <c r="K469" s="91"/>
      <c r="L469" s="91"/>
      <c r="M469" s="431"/>
      <c r="N469" s="91"/>
      <c r="O469" s="91"/>
      <c r="P469" s="91"/>
      <c r="Q469" s="91"/>
      <c r="R469" s="91"/>
      <c r="S469" s="91"/>
      <c r="T469" s="91"/>
      <c r="U469" s="181">
        <f t="shared" si="130"/>
        <v>3555</v>
      </c>
    </row>
    <row r="470" spans="1:21" ht="21" customHeight="1">
      <c r="A470" s="769" t="s">
        <v>216</v>
      </c>
      <c r="B470" s="769"/>
      <c r="C470" s="768" t="s">
        <v>218</v>
      </c>
      <c r="D470" s="768"/>
      <c r="E470" s="501" t="s">
        <v>221</v>
      </c>
      <c r="F470" s="768" t="s">
        <v>223</v>
      </c>
      <c r="G470" s="769"/>
      <c r="H470" s="501" t="s">
        <v>237</v>
      </c>
      <c r="I470" s="501" t="s">
        <v>238</v>
      </c>
      <c r="J470" s="765" t="s">
        <v>239</v>
      </c>
      <c r="K470" s="766"/>
      <c r="L470" s="767"/>
      <c r="M470" s="502" t="s">
        <v>240</v>
      </c>
      <c r="N470" s="765" t="s">
        <v>241</v>
      </c>
      <c r="O470" s="766"/>
      <c r="P470" s="767"/>
      <c r="Q470" s="768" t="s">
        <v>242</v>
      </c>
      <c r="R470" s="769"/>
      <c r="S470" s="501" t="s">
        <v>306</v>
      </c>
      <c r="T470" s="501" t="s">
        <v>243</v>
      </c>
      <c r="U470" s="770" t="s">
        <v>17</v>
      </c>
    </row>
    <row r="471" spans="1:21" ht="21" customHeight="1">
      <c r="A471" s="769" t="s">
        <v>217</v>
      </c>
      <c r="B471" s="769"/>
      <c r="C471" s="501" t="s">
        <v>219</v>
      </c>
      <c r="D471" s="501" t="s">
        <v>220</v>
      </c>
      <c r="E471" s="501" t="s">
        <v>312</v>
      </c>
      <c r="F471" s="501" t="s">
        <v>224</v>
      </c>
      <c r="G471" s="501" t="s">
        <v>225</v>
      </c>
      <c r="H471" s="501" t="s">
        <v>227</v>
      </c>
      <c r="I471" s="501" t="s">
        <v>228</v>
      </c>
      <c r="J471" s="501" t="s">
        <v>229</v>
      </c>
      <c r="K471" s="501" t="s">
        <v>230</v>
      </c>
      <c r="L471" s="501" t="s">
        <v>431</v>
      </c>
      <c r="M471" s="502" t="s">
        <v>231</v>
      </c>
      <c r="N471" s="501" t="s">
        <v>232</v>
      </c>
      <c r="O471" s="501" t="s">
        <v>233</v>
      </c>
      <c r="P471" s="501" t="s">
        <v>314</v>
      </c>
      <c r="Q471" s="501" t="s">
        <v>234</v>
      </c>
      <c r="R471" s="501" t="s">
        <v>235</v>
      </c>
      <c r="S471" s="501" t="s">
        <v>307</v>
      </c>
      <c r="T471" s="501" t="s">
        <v>236</v>
      </c>
      <c r="U471" s="770"/>
    </row>
    <row r="472" spans="1:21" ht="21" customHeight="1">
      <c r="A472" s="179">
        <v>220600</v>
      </c>
      <c r="B472" s="83" t="s">
        <v>258</v>
      </c>
      <c r="C472" s="91">
        <v>74860</v>
      </c>
      <c r="D472" s="91">
        <v>9140</v>
      </c>
      <c r="E472" s="91"/>
      <c r="F472" s="91"/>
      <c r="G472" s="91"/>
      <c r="H472" s="91"/>
      <c r="I472" s="91"/>
      <c r="J472" s="91">
        <v>10725</v>
      </c>
      <c r="K472" s="91"/>
      <c r="L472" s="91"/>
      <c r="M472" s="431"/>
      <c r="N472" s="91"/>
      <c r="O472" s="91"/>
      <c r="P472" s="91"/>
      <c r="Q472" s="91"/>
      <c r="R472" s="91"/>
      <c r="S472" s="91"/>
      <c r="T472" s="91"/>
      <c r="U472" s="181">
        <f>SUM(C472:T472)</f>
        <v>94725</v>
      </c>
    </row>
    <row r="473" spans="1:21" ht="21" customHeight="1">
      <c r="A473" s="182">
        <v>220700</v>
      </c>
      <c r="B473" s="84" t="s">
        <v>259</v>
      </c>
      <c r="C473" s="91">
        <v>42140</v>
      </c>
      <c r="D473" s="115">
        <v>5860</v>
      </c>
      <c r="E473" s="115"/>
      <c r="F473" s="115">
        <v>900</v>
      </c>
      <c r="G473" s="115"/>
      <c r="H473" s="115"/>
      <c r="I473" s="115"/>
      <c r="J473" s="91">
        <v>5345</v>
      </c>
      <c r="K473" s="115"/>
      <c r="L473" s="115"/>
      <c r="M473" s="432"/>
      <c r="N473" s="115"/>
      <c r="O473" s="115"/>
      <c r="P473" s="115"/>
      <c r="Q473" s="115"/>
      <c r="R473" s="115"/>
      <c r="S473" s="115"/>
      <c r="T473" s="115"/>
      <c r="U473" s="184">
        <f>SUM(C473:T473)</f>
        <v>54245</v>
      </c>
    </row>
    <row r="474" spans="1:22" ht="21" customHeight="1">
      <c r="A474" s="756" t="s">
        <v>252</v>
      </c>
      <c r="B474" s="757"/>
      <c r="C474" s="181">
        <f>SUM(C464:C473)</f>
        <v>476779.67</v>
      </c>
      <c r="D474" s="181">
        <f>SUM(D464:D473)</f>
        <v>190584</v>
      </c>
      <c r="E474" s="181">
        <f>SUM(E464:E473)</f>
        <v>0</v>
      </c>
      <c r="F474" s="181">
        <f>SUM(F464:F473)</f>
        <v>900</v>
      </c>
      <c r="G474" s="181">
        <f>SUM(G464:G473)</f>
        <v>0</v>
      </c>
      <c r="H474" s="181">
        <f>SUM(H464:H473)</f>
        <v>0</v>
      </c>
      <c r="I474" s="181">
        <f>SUM(I464:I473)</f>
        <v>0</v>
      </c>
      <c r="J474" s="181">
        <f>SUM(J464:J473)</f>
        <v>148439</v>
      </c>
      <c r="K474" s="181">
        <f>SUM(K464:K473)</f>
        <v>0</v>
      </c>
      <c r="L474" s="181">
        <f>SUM(L464:L473)</f>
        <v>0</v>
      </c>
      <c r="M474" s="433">
        <f>SUM(M464:M473)</f>
        <v>0</v>
      </c>
      <c r="N474" s="181">
        <f>SUM(N464:N473)</f>
        <v>0</v>
      </c>
      <c r="O474" s="181">
        <f>SUM(O464:O473)</f>
        <v>0</v>
      </c>
      <c r="P474" s="181"/>
      <c r="Q474" s="181">
        <f>SUM(Q464:Q473)</f>
        <v>0</v>
      </c>
      <c r="R474" s="181">
        <f>SUM(R464:R473)</f>
        <v>0</v>
      </c>
      <c r="S474" s="181">
        <f>SUM(S464:S473)</f>
        <v>0</v>
      </c>
      <c r="T474" s="181">
        <f>SUM(T464:T473)</f>
        <v>0</v>
      </c>
      <c r="U474" s="181">
        <f>SUM(C474:T474)</f>
        <v>816702.6699999999</v>
      </c>
      <c r="V474" s="177">
        <f>640597+27285+148970-149.33</f>
        <v>816702.67</v>
      </c>
    </row>
    <row r="475" spans="1:21" ht="21" customHeight="1">
      <c r="A475" s="758" t="s">
        <v>253</v>
      </c>
      <c r="B475" s="759"/>
      <c r="C475" s="185">
        <f>+C474+C365</f>
        <v>1715302.25</v>
      </c>
      <c r="D475" s="185">
        <f aca="true" t="shared" si="131" ref="D475:U475">+D474+D365</f>
        <v>567046.5800000001</v>
      </c>
      <c r="E475" s="185">
        <f t="shared" si="131"/>
        <v>0</v>
      </c>
      <c r="F475" s="185">
        <f t="shared" si="131"/>
        <v>4500</v>
      </c>
      <c r="G475" s="185">
        <f t="shared" si="131"/>
        <v>0</v>
      </c>
      <c r="H475" s="185">
        <f t="shared" si="131"/>
        <v>0</v>
      </c>
      <c r="I475" s="185">
        <f t="shared" si="131"/>
        <v>0</v>
      </c>
      <c r="J475" s="185">
        <f t="shared" si="131"/>
        <v>369059</v>
      </c>
      <c r="K475" s="185">
        <f t="shared" si="131"/>
        <v>0</v>
      </c>
      <c r="L475" s="185">
        <f t="shared" si="131"/>
        <v>0</v>
      </c>
      <c r="M475" s="185">
        <f t="shared" si="131"/>
        <v>0</v>
      </c>
      <c r="N475" s="185">
        <f t="shared" si="131"/>
        <v>0</v>
      </c>
      <c r="O475" s="185">
        <f t="shared" si="131"/>
        <v>0</v>
      </c>
      <c r="P475" s="185">
        <f t="shared" si="131"/>
        <v>0</v>
      </c>
      <c r="Q475" s="185">
        <f t="shared" si="131"/>
        <v>0</v>
      </c>
      <c r="R475" s="185">
        <f t="shared" si="131"/>
        <v>0</v>
      </c>
      <c r="S475" s="185">
        <f t="shared" si="131"/>
        <v>0</v>
      </c>
      <c r="T475" s="185">
        <f t="shared" si="131"/>
        <v>0</v>
      </c>
      <c r="U475" s="185">
        <f t="shared" si="131"/>
        <v>2655907.83</v>
      </c>
    </row>
    <row r="476" spans="1:21" ht="21" customHeight="1">
      <c r="A476" s="771" t="s">
        <v>293</v>
      </c>
      <c r="B476" s="772"/>
      <c r="C476" s="186"/>
      <c r="D476" s="186"/>
      <c r="E476" s="186"/>
      <c r="F476" s="186"/>
      <c r="G476" s="186"/>
      <c r="H476" s="186"/>
      <c r="I476" s="186"/>
      <c r="J476" s="186"/>
      <c r="K476" s="186"/>
      <c r="L476" s="186"/>
      <c r="M476" s="434"/>
      <c r="N476" s="186"/>
      <c r="O476" s="186"/>
      <c r="P476" s="186"/>
      <c r="Q476" s="186"/>
      <c r="R476" s="186"/>
      <c r="S476" s="186"/>
      <c r="T476" s="186"/>
      <c r="U476" s="187">
        <f aca="true" t="shared" si="132" ref="U476:U482">SUM(C476:T476)</f>
        <v>0</v>
      </c>
    </row>
    <row r="477" spans="1:21" ht="21" customHeight="1">
      <c r="A477" s="179">
        <v>310100</v>
      </c>
      <c r="B477" s="83" t="s">
        <v>260</v>
      </c>
      <c r="C477" s="91"/>
      <c r="D477" s="91"/>
      <c r="E477" s="91">
        <v>19000</v>
      </c>
      <c r="F477" s="91"/>
      <c r="G477" s="91"/>
      <c r="H477" s="91"/>
      <c r="I477" s="91"/>
      <c r="J477" s="91"/>
      <c r="K477" s="91"/>
      <c r="L477" s="91"/>
      <c r="M477" s="431"/>
      <c r="N477" s="91"/>
      <c r="O477" s="91"/>
      <c r="P477" s="91"/>
      <c r="Q477" s="91"/>
      <c r="R477" s="91"/>
      <c r="S477" s="91"/>
      <c r="T477" s="91"/>
      <c r="U477" s="181">
        <f t="shared" si="132"/>
        <v>19000</v>
      </c>
    </row>
    <row r="478" spans="1:21" ht="21" customHeight="1">
      <c r="A478" s="179">
        <v>310200</v>
      </c>
      <c r="B478" s="83" t="s">
        <v>261</v>
      </c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431"/>
      <c r="N478" s="91"/>
      <c r="O478" s="91"/>
      <c r="P478" s="91"/>
      <c r="Q478" s="91"/>
      <c r="R478" s="91"/>
      <c r="S478" s="91"/>
      <c r="T478" s="91"/>
      <c r="U478" s="181">
        <f t="shared" si="132"/>
        <v>0</v>
      </c>
    </row>
    <row r="479" spans="1:21" ht="21" customHeight="1">
      <c r="A479" s="179">
        <v>310300</v>
      </c>
      <c r="B479" s="83" t="s">
        <v>262</v>
      </c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431"/>
      <c r="N479" s="91"/>
      <c r="O479" s="91"/>
      <c r="P479" s="91"/>
      <c r="Q479" s="91"/>
      <c r="R479" s="91"/>
      <c r="S479" s="91"/>
      <c r="T479" s="91"/>
      <c r="U479" s="181">
        <f t="shared" si="132"/>
        <v>0</v>
      </c>
    </row>
    <row r="480" spans="1:21" ht="21" customHeight="1">
      <c r="A480" s="179">
        <v>310400</v>
      </c>
      <c r="B480" s="83" t="s">
        <v>263</v>
      </c>
      <c r="C480" s="91">
        <v>16500</v>
      </c>
      <c r="D480" s="91">
        <v>3200</v>
      </c>
      <c r="E480" s="91"/>
      <c r="F480" s="91"/>
      <c r="G480" s="91"/>
      <c r="H480" s="91"/>
      <c r="I480" s="91"/>
      <c r="J480" s="91">
        <v>1600</v>
      </c>
      <c r="K480" s="91"/>
      <c r="L480" s="91"/>
      <c r="M480" s="431"/>
      <c r="N480" s="91"/>
      <c r="O480" s="91"/>
      <c r="P480" s="91"/>
      <c r="Q480" s="91"/>
      <c r="R480" s="91"/>
      <c r="S480" s="91"/>
      <c r="T480" s="91"/>
      <c r="U480" s="181">
        <f t="shared" si="132"/>
        <v>21300</v>
      </c>
    </row>
    <row r="481" spans="1:21" ht="21" customHeight="1">
      <c r="A481" s="179">
        <v>310500</v>
      </c>
      <c r="B481" s="83" t="s">
        <v>264</v>
      </c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431"/>
      <c r="N481" s="91"/>
      <c r="O481" s="91"/>
      <c r="P481" s="91"/>
      <c r="Q481" s="91"/>
      <c r="R481" s="91"/>
      <c r="S481" s="91"/>
      <c r="T481" s="91"/>
      <c r="U481" s="181">
        <f t="shared" si="132"/>
        <v>0</v>
      </c>
    </row>
    <row r="482" spans="1:21" ht="21" customHeight="1">
      <c r="A482" s="182">
        <v>310600</v>
      </c>
      <c r="B482" s="84" t="s">
        <v>265</v>
      </c>
      <c r="C482" s="91"/>
      <c r="D482" s="91"/>
      <c r="E482" s="115"/>
      <c r="F482" s="115"/>
      <c r="G482" s="115"/>
      <c r="H482" s="115"/>
      <c r="I482" s="115"/>
      <c r="J482" s="115"/>
      <c r="K482" s="115"/>
      <c r="L482" s="115"/>
      <c r="M482" s="432"/>
      <c r="N482" s="115"/>
      <c r="O482" s="115"/>
      <c r="P482" s="115"/>
      <c r="Q482" s="115"/>
      <c r="R482" s="115"/>
      <c r="S482" s="115"/>
      <c r="T482" s="115"/>
      <c r="U482" s="184">
        <f t="shared" si="132"/>
        <v>0</v>
      </c>
    </row>
    <row r="483" spans="1:23" ht="21" customHeight="1">
      <c r="A483" s="756" t="s">
        <v>252</v>
      </c>
      <c r="B483" s="757"/>
      <c r="C483" s="181">
        <f>SUM(C477:C482)</f>
        <v>16500</v>
      </c>
      <c r="D483" s="181">
        <f aca="true" t="shared" si="133" ref="D483:T483">SUM(D477:D482)</f>
        <v>3200</v>
      </c>
      <c r="E483" s="181">
        <f t="shared" si="133"/>
        <v>19000</v>
      </c>
      <c r="F483" s="181">
        <f t="shared" si="133"/>
        <v>0</v>
      </c>
      <c r="G483" s="181">
        <f t="shared" si="133"/>
        <v>0</v>
      </c>
      <c r="H483" s="181">
        <f t="shared" si="133"/>
        <v>0</v>
      </c>
      <c r="I483" s="181">
        <f t="shared" si="133"/>
        <v>0</v>
      </c>
      <c r="J483" s="181">
        <f t="shared" si="133"/>
        <v>1600</v>
      </c>
      <c r="K483" s="181">
        <f t="shared" si="133"/>
        <v>0</v>
      </c>
      <c r="L483" s="181">
        <f t="shared" si="133"/>
        <v>0</v>
      </c>
      <c r="M483" s="181">
        <f t="shared" si="133"/>
        <v>0</v>
      </c>
      <c r="N483" s="181">
        <f t="shared" si="133"/>
        <v>0</v>
      </c>
      <c r="O483" s="181">
        <f t="shared" si="133"/>
        <v>0</v>
      </c>
      <c r="P483" s="181">
        <f t="shared" si="133"/>
        <v>0</v>
      </c>
      <c r="Q483" s="181">
        <f t="shared" si="133"/>
        <v>0</v>
      </c>
      <c r="R483" s="181">
        <f t="shared" si="133"/>
        <v>0</v>
      </c>
      <c r="S483" s="181">
        <f t="shared" si="133"/>
        <v>0</v>
      </c>
      <c r="T483" s="181">
        <f t="shared" si="133"/>
        <v>0</v>
      </c>
      <c r="U483" s="181">
        <f>SUM(C483:T483)</f>
        <v>40300</v>
      </c>
      <c r="V483" s="177">
        <v>50242</v>
      </c>
      <c r="W483" s="211">
        <f>+V483-U483</f>
        <v>9942</v>
      </c>
    </row>
    <row r="484" spans="1:21" ht="21" customHeight="1">
      <c r="A484" s="758" t="s">
        <v>253</v>
      </c>
      <c r="B484" s="759"/>
      <c r="C484" s="185">
        <f>+C483+C374</f>
        <v>101060</v>
      </c>
      <c r="D484" s="185">
        <f aca="true" t="shared" si="134" ref="D484:U484">+D483+D374</f>
        <v>32815</v>
      </c>
      <c r="E484" s="185">
        <f t="shared" si="134"/>
        <v>19000</v>
      </c>
      <c r="F484" s="185">
        <f t="shared" si="134"/>
        <v>0</v>
      </c>
      <c r="G484" s="185">
        <f t="shared" si="134"/>
        <v>0</v>
      </c>
      <c r="H484" s="185">
        <f t="shared" si="134"/>
        <v>0</v>
      </c>
      <c r="I484" s="185">
        <f t="shared" si="134"/>
        <v>0</v>
      </c>
      <c r="J484" s="185">
        <f t="shared" si="134"/>
        <v>6400</v>
      </c>
      <c r="K484" s="185">
        <f t="shared" si="134"/>
        <v>0</v>
      </c>
      <c r="L484" s="185">
        <f t="shared" si="134"/>
        <v>0</v>
      </c>
      <c r="M484" s="185">
        <f t="shared" si="134"/>
        <v>0</v>
      </c>
      <c r="N484" s="185">
        <f t="shared" si="134"/>
        <v>0</v>
      </c>
      <c r="O484" s="185">
        <f t="shared" si="134"/>
        <v>0</v>
      </c>
      <c r="P484" s="185">
        <f t="shared" si="134"/>
        <v>0</v>
      </c>
      <c r="Q484" s="185">
        <f t="shared" si="134"/>
        <v>0</v>
      </c>
      <c r="R484" s="185">
        <f t="shared" si="134"/>
        <v>0</v>
      </c>
      <c r="S484" s="185">
        <f t="shared" si="134"/>
        <v>0</v>
      </c>
      <c r="T484" s="185">
        <f t="shared" si="134"/>
        <v>0</v>
      </c>
      <c r="U484" s="185">
        <f t="shared" si="134"/>
        <v>159275</v>
      </c>
    </row>
    <row r="485" spans="1:21" ht="21" customHeight="1">
      <c r="A485" s="771" t="s">
        <v>294</v>
      </c>
      <c r="B485" s="772"/>
      <c r="C485" s="186"/>
      <c r="D485" s="186"/>
      <c r="E485" s="186"/>
      <c r="F485" s="186"/>
      <c r="G485" s="186"/>
      <c r="H485" s="186"/>
      <c r="I485" s="186"/>
      <c r="J485" s="186"/>
      <c r="K485" s="186"/>
      <c r="L485" s="186"/>
      <c r="M485" s="434"/>
      <c r="N485" s="186"/>
      <c r="O485" s="186"/>
      <c r="P485" s="186"/>
      <c r="Q485" s="186"/>
      <c r="R485" s="186"/>
      <c r="S485" s="186"/>
      <c r="T485" s="186"/>
      <c r="U485" s="187">
        <f>SUM(C485:T485)</f>
        <v>0</v>
      </c>
    </row>
    <row r="486" spans="1:21" ht="21" customHeight="1">
      <c r="A486" s="179">
        <v>320100</v>
      </c>
      <c r="B486" s="83" t="s">
        <v>266</v>
      </c>
      <c r="C486" s="91">
        <f>4500+4500+5500+7000+7000+1300</f>
        <v>29800</v>
      </c>
      <c r="D486" s="91">
        <v>7000</v>
      </c>
      <c r="E486" s="91"/>
      <c r="F486" s="91"/>
      <c r="G486" s="91"/>
      <c r="H486" s="91">
        <v>7000</v>
      </c>
      <c r="I486" s="91"/>
      <c r="J486" s="110"/>
      <c r="K486" s="91"/>
      <c r="L486" s="91">
        <f>7000+7000+7000+7000+9317.5</f>
        <v>37317.5</v>
      </c>
      <c r="M486" s="431">
        <v>4030</v>
      </c>
      <c r="N486" s="91"/>
      <c r="O486" s="91"/>
      <c r="P486" s="91"/>
      <c r="Q486" s="91"/>
      <c r="R486" s="91"/>
      <c r="S486" s="91">
        <v>8000</v>
      </c>
      <c r="T486" s="91"/>
      <c r="U486" s="181">
        <f>SUM(C486:T486)</f>
        <v>93147.5</v>
      </c>
    </row>
    <row r="487" spans="1:21" ht="21" customHeight="1">
      <c r="A487" s="179">
        <v>320200</v>
      </c>
      <c r="B487" s="83" t="s">
        <v>267</v>
      </c>
      <c r="C487" s="91">
        <v>3620</v>
      </c>
      <c r="D487" s="91"/>
      <c r="E487" s="91"/>
      <c r="F487" s="91"/>
      <c r="G487" s="91"/>
      <c r="H487" s="91"/>
      <c r="I487" s="91"/>
      <c r="J487" s="91"/>
      <c r="K487" s="91"/>
      <c r="L487" s="91"/>
      <c r="M487" s="431"/>
      <c r="N487" s="91"/>
      <c r="O487" s="91"/>
      <c r="P487" s="91"/>
      <c r="Q487" s="91"/>
      <c r="R487" s="91"/>
      <c r="S487" s="91"/>
      <c r="T487" s="91"/>
      <c r="U487" s="181">
        <f>SUM(C487:T487)</f>
        <v>3620</v>
      </c>
    </row>
    <row r="488" spans="1:21" ht="21" customHeight="1">
      <c r="A488" s="179">
        <v>320300</v>
      </c>
      <c r="B488" s="83" t="s">
        <v>268</v>
      </c>
      <c r="C488" s="91">
        <v>1184</v>
      </c>
      <c r="D488" s="91"/>
      <c r="E488" s="91"/>
      <c r="F488" s="91">
        <v>3876</v>
      </c>
      <c r="G488" s="91"/>
      <c r="H488" s="91"/>
      <c r="I488" s="91"/>
      <c r="J488" s="91"/>
      <c r="K488" s="91"/>
      <c r="L488" s="91"/>
      <c r="M488" s="431"/>
      <c r="N488" s="91"/>
      <c r="O488" s="91"/>
      <c r="P488" s="91"/>
      <c r="Q488" s="91"/>
      <c r="R488" s="91"/>
      <c r="S488" s="91"/>
      <c r="T488" s="91"/>
      <c r="U488" s="181">
        <f>SUM(C488:T488)</f>
        <v>5060</v>
      </c>
    </row>
    <row r="489" spans="1:21" ht="21" customHeight="1">
      <c r="A489" s="182">
        <v>320400</v>
      </c>
      <c r="B489" s="84" t="s">
        <v>269</v>
      </c>
      <c r="C489" s="115"/>
      <c r="D489" s="115"/>
      <c r="E489" s="115"/>
      <c r="F489" s="115"/>
      <c r="G489" s="115"/>
      <c r="H489" s="115"/>
      <c r="I489" s="115"/>
      <c r="J489" s="319"/>
      <c r="K489" s="115"/>
      <c r="L489" s="115"/>
      <c r="M489" s="432"/>
      <c r="N489" s="115"/>
      <c r="O489" s="115"/>
      <c r="P489" s="115"/>
      <c r="Q489" s="115"/>
      <c r="R489" s="115"/>
      <c r="S489" s="115"/>
      <c r="T489" s="115"/>
      <c r="U489" s="181">
        <f>SUM(C489:T489)</f>
        <v>0</v>
      </c>
    </row>
    <row r="490" spans="1:23" ht="21" customHeight="1">
      <c r="A490" s="756" t="s">
        <v>252</v>
      </c>
      <c r="B490" s="757"/>
      <c r="C490" s="181">
        <f>SUM(C486:C489)</f>
        <v>34604</v>
      </c>
      <c r="D490" s="181">
        <f>SUM(D486:D489)</f>
        <v>7000</v>
      </c>
      <c r="E490" s="181">
        <f aca="true" t="shared" si="135" ref="E490:T490">SUM(E486:E489)</f>
        <v>0</v>
      </c>
      <c r="F490" s="181">
        <f t="shared" si="135"/>
        <v>3876</v>
      </c>
      <c r="G490" s="181">
        <f t="shared" si="135"/>
        <v>0</v>
      </c>
      <c r="H490" s="181">
        <f t="shared" si="135"/>
        <v>7000</v>
      </c>
      <c r="I490" s="181">
        <f t="shared" si="135"/>
        <v>0</v>
      </c>
      <c r="J490" s="181">
        <f t="shared" si="135"/>
        <v>0</v>
      </c>
      <c r="K490" s="181">
        <f t="shared" si="135"/>
        <v>0</v>
      </c>
      <c r="L490" s="181">
        <f t="shared" si="135"/>
        <v>37317.5</v>
      </c>
      <c r="M490" s="433">
        <f t="shared" si="135"/>
        <v>4030</v>
      </c>
      <c r="N490" s="181">
        <f t="shared" si="135"/>
        <v>0</v>
      </c>
      <c r="O490" s="181">
        <f t="shared" si="135"/>
        <v>0</v>
      </c>
      <c r="P490" s="181">
        <f t="shared" si="135"/>
        <v>0</v>
      </c>
      <c r="Q490" s="181">
        <f t="shared" si="135"/>
        <v>0</v>
      </c>
      <c r="R490" s="181">
        <f t="shared" si="135"/>
        <v>0</v>
      </c>
      <c r="S490" s="181">
        <f t="shared" si="135"/>
        <v>8000</v>
      </c>
      <c r="T490" s="181">
        <f t="shared" si="135"/>
        <v>0</v>
      </c>
      <c r="U490" s="181">
        <f>SUM(C490:T490)</f>
        <v>101827.5</v>
      </c>
      <c r="V490" s="177">
        <v>106590.5</v>
      </c>
      <c r="W490" s="211">
        <f>+V490-U490</f>
        <v>4763</v>
      </c>
    </row>
    <row r="491" spans="1:21" ht="21" customHeight="1">
      <c r="A491" s="758" t="s">
        <v>253</v>
      </c>
      <c r="B491" s="759"/>
      <c r="C491" s="185">
        <f>+C490+C381</f>
        <v>623330.65</v>
      </c>
      <c r="D491" s="185">
        <f aca="true" t="shared" si="136" ref="D491:U491">+D490+D381</f>
        <v>43224</v>
      </c>
      <c r="E491" s="185">
        <f t="shared" si="136"/>
        <v>13240</v>
      </c>
      <c r="F491" s="185">
        <f t="shared" si="136"/>
        <v>38436</v>
      </c>
      <c r="G491" s="185">
        <f t="shared" si="136"/>
        <v>523200</v>
      </c>
      <c r="H491" s="185">
        <f t="shared" si="136"/>
        <v>21000</v>
      </c>
      <c r="I491" s="185">
        <f t="shared" si="136"/>
        <v>0</v>
      </c>
      <c r="J491" s="185">
        <f t="shared" si="136"/>
        <v>3250</v>
      </c>
      <c r="K491" s="185">
        <f t="shared" si="136"/>
        <v>0</v>
      </c>
      <c r="L491" s="185">
        <f t="shared" si="136"/>
        <v>164298.75</v>
      </c>
      <c r="M491" s="185">
        <f t="shared" si="136"/>
        <v>100165</v>
      </c>
      <c r="N491" s="185">
        <f t="shared" si="136"/>
        <v>10000</v>
      </c>
      <c r="O491" s="185">
        <f t="shared" si="136"/>
        <v>163890</v>
      </c>
      <c r="P491" s="185">
        <f t="shared" si="136"/>
        <v>0</v>
      </c>
      <c r="Q491" s="185">
        <f t="shared" si="136"/>
        <v>0</v>
      </c>
      <c r="R491" s="185">
        <f t="shared" si="136"/>
        <v>0</v>
      </c>
      <c r="S491" s="185">
        <f t="shared" si="136"/>
        <v>32000</v>
      </c>
      <c r="T491" s="185">
        <f t="shared" si="136"/>
        <v>0</v>
      </c>
      <c r="U491" s="185">
        <f t="shared" si="136"/>
        <v>1736034.4</v>
      </c>
    </row>
    <row r="492" spans="1:21" ht="21" customHeight="1">
      <c r="A492" s="771" t="s">
        <v>295</v>
      </c>
      <c r="B492" s="772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M492" s="434"/>
      <c r="N492" s="186"/>
      <c r="O492" s="186"/>
      <c r="P492" s="186"/>
      <c r="Q492" s="186"/>
      <c r="R492" s="186"/>
      <c r="S492" s="186"/>
      <c r="T492" s="186"/>
      <c r="U492" s="187">
        <f aca="true" t="shared" si="137" ref="U492:U497">SUM(C492:T492)</f>
        <v>0</v>
      </c>
    </row>
    <row r="493" spans="1:21" ht="21" customHeight="1">
      <c r="A493" s="179">
        <v>330100</v>
      </c>
      <c r="B493" s="83" t="s">
        <v>270</v>
      </c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431"/>
      <c r="N493" s="91"/>
      <c r="O493" s="91"/>
      <c r="P493" s="91"/>
      <c r="Q493" s="91"/>
      <c r="R493" s="91"/>
      <c r="S493" s="91"/>
      <c r="T493" s="91"/>
      <c r="U493" s="181">
        <f t="shared" si="137"/>
        <v>0</v>
      </c>
    </row>
    <row r="494" spans="1:21" ht="21" customHeight="1">
      <c r="A494" s="179">
        <v>330200</v>
      </c>
      <c r="B494" s="83" t="s">
        <v>271</v>
      </c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431"/>
      <c r="N494" s="91"/>
      <c r="O494" s="91"/>
      <c r="P494" s="91"/>
      <c r="Q494" s="91"/>
      <c r="R494" s="91"/>
      <c r="S494" s="91"/>
      <c r="T494" s="91"/>
      <c r="U494" s="181">
        <f t="shared" si="137"/>
        <v>0</v>
      </c>
    </row>
    <row r="495" spans="1:21" ht="21" customHeight="1">
      <c r="A495" s="179">
        <v>330300</v>
      </c>
      <c r="B495" s="83" t="s">
        <v>406</v>
      </c>
      <c r="C495" s="91">
        <v>1550</v>
      </c>
      <c r="D495" s="91"/>
      <c r="E495" s="91"/>
      <c r="F495" s="91"/>
      <c r="G495" s="91"/>
      <c r="H495" s="91"/>
      <c r="I495" s="91"/>
      <c r="J495" s="91"/>
      <c r="K495" s="91"/>
      <c r="L495" s="91"/>
      <c r="M495" s="431"/>
      <c r="N495" s="91"/>
      <c r="O495" s="91"/>
      <c r="P495" s="91"/>
      <c r="Q495" s="91"/>
      <c r="R495" s="91"/>
      <c r="S495" s="91"/>
      <c r="T495" s="91"/>
      <c r="U495" s="181">
        <f t="shared" si="137"/>
        <v>1550</v>
      </c>
    </row>
    <row r="496" spans="1:21" ht="21" customHeight="1" hidden="1">
      <c r="A496" s="179">
        <v>330400</v>
      </c>
      <c r="B496" s="83" t="s">
        <v>296</v>
      </c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431"/>
      <c r="N496" s="91"/>
      <c r="O496" s="91"/>
      <c r="P496" s="91"/>
      <c r="Q496" s="91"/>
      <c r="R496" s="91"/>
      <c r="S496" s="91"/>
      <c r="T496" s="91"/>
      <c r="U496" s="181">
        <f t="shared" si="137"/>
        <v>0</v>
      </c>
    </row>
    <row r="497" spans="1:21" ht="21" customHeight="1" hidden="1">
      <c r="A497" s="179">
        <v>330600</v>
      </c>
      <c r="B497" s="83" t="s">
        <v>272</v>
      </c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431"/>
      <c r="N497" s="91"/>
      <c r="O497" s="91"/>
      <c r="P497" s="91"/>
      <c r="Q497" s="91"/>
      <c r="R497" s="91"/>
      <c r="S497" s="91"/>
      <c r="T497" s="91"/>
      <c r="U497" s="181">
        <f t="shared" si="137"/>
        <v>0</v>
      </c>
    </row>
    <row r="498" spans="1:21" ht="21" customHeight="1">
      <c r="A498" s="179">
        <v>330800</v>
      </c>
      <c r="B498" s="83" t="s">
        <v>273</v>
      </c>
      <c r="C498" s="91">
        <v>31000</v>
      </c>
      <c r="D498" s="91"/>
      <c r="E498" s="91"/>
      <c r="F498" s="91"/>
      <c r="G498" s="91"/>
      <c r="H498" s="91">
        <v>9500</v>
      </c>
      <c r="I498" s="91"/>
      <c r="J498" s="91"/>
      <c r="K498" s="91"/>
      <c r="L498" s="91"/>
      <c r="M498" s="431"/>
      <c r="N498" s="91"/>
      <c r="O498" s="91"/>
      <c r="P498" s="91"/>
      <c r="Q498" s="91"/>
      <c r="R498" s="91"/>
      <c r="S498" s="91">
        <v>22000</v>
      </c>
      <c r="T498" s="91"/>
      <c r="U498" s="181">
        <f>SUM(C498:T498)</f>
        <v>62500</v>
      </c>
    </row>
    <row r="499" spans="1:21" ht="21" customHeight="1">
      <c r="A499" s="179">
        <v>330900</v>
      </c>
      <c r="B499" s="83" t="s">
        <v>275</v>
      </c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431"/>
      <c r="N499" s="91"/>
      <c r="O499" s="91"/>
      <c r="P499" s="91"/>
      <c r="Q499" s="91"/>
      <c r="R499" s="91"/>
      <c r="S499" s="91"/>
      <c r="T499" s="91"/>
      <c r="U499" s="181">
        <f>SUM(C499:T499)</f>
        <v>0</v>
      </c>
    </row>
    <row r="500" spans="1:21" ht="21" customHeight="1">
      <c r="A500" s="769" t="s">
        <v>216</v>
      </c>
      <c r="B500" s="769"/>
      <c r="C500" s="768" t="s">
        <v>218</v>
      </c>
      <c r="D500" s="768"/>
      <c r="E500" s="501" t="s">
        <v>221</v>
      </c>
      <c r="F500" s="768" t="s">
        <v>223</v>
      </c>
      <c r="G500" s="769"/>
      <c r="H500" s="501" t="s">
        <v>237</v>
      </c>
      <c r="I500" s="501" t="s">
        <v>238</v>
      </c>
      <c r="J500" s="765" t="s">
        <v>239</v>
      </c>
      <c r="K500" s="766"/>
      <c r="L500" s="767"/>
      <c r="M500" s="502" t="s">
        <v>240</v>
      </c>
      <c r="N500" s="765" t="s">
        <v>241</v>
      </c>
      <c r="O500" s="766"/>
      <c r="P500" s="767"/>
      <c r="Q500" s="768" t="s">
        <v>242</v>
      </c>
      <c r="R500" s="769"/>
      <c r="S500" s="501" t="s">
        <v>306</v>
      </c>
      <c r="T500" s="501" t="s">
        <v>243</v>
      </c>
      <c r="U500" s="770" t="s">
        <v>17</v>
      </c>
    </row>
    <row r="501" spans="1:21" ht="21" customHeight="1">
      <c r="A501" s="769" t="s">
        <v>217</v>
      </c>
      <c r="B501" s="769"/>
      <c r="C501" s="501" t="s">
        <v>219</v>
      </c>
      <c r="D501" s="501" t="s">
        <v>220</v>
      </c>
      <c r="E501" s="501" t="s">
        <v>312</v>
      </c>
      <c r="F501" s="501" t="s">
        <v>224</v>
      </c>
      <c r="G501" s="501" t="s">
        <v>225</v>
      </c>
      <c r="H501" s="501" t="s">
        <v>227</v>
      </c>
      <c r="I501" s="501" t="s">
        <v>228</v>
      </c>
      <c r="J501" s="501" t="s">
        <v>229</v>
      </c>
      <c r="K501" s="501" t="s">
        <v>230</v>
      </c>
      <c r="L501" s="501" t="s">
        <v>431</v>
      </c>
      <c r="M501" s="502" t="s">
        <v>231</v>
      </c>
      <c r="N501" s="501" t="s">
        <v>232</v>
      </c>
      <c r="O501" s="501" t="s">
        <v>233</v>
      </c>
      <c r="P501" s="501" t="s">
        <v>314</v>
      </c>
      <c r="Q501" s="501" t="s">
        <v>234</v>
      </c>
      <c r="R501" s="501" t="s">
        <v>235</v>
      </c>
      <c r="S501" s="501" t="s">
        <v>307</v>
      </c>
      <c r="T501" s="501" t="s">
        <v>236</v>
      </c>
      <c r="U501" s="770"/>
    </row>
    <row r="502" spans="1:21" ht="21" customHeight="1">
      <c r="A502" s="179">
        <v>331200</v>
      </c>
      <c r="B502" s="83" t="s">
        <v>276</v>
      </c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431"/>
      <c r="N502" s="91"/>
      <c r="O502" s="91"/>
      <c r="P502" s="91"/>
      <c r="Q502" s="91"/>
      <c r="R502" s="91"/>
      <c r="S502" s="91"/>
      <c r="T502" s="91"/>
      <c r="U502" s="181">
        <f aca="true" t="shared" si="138" ref="U502:U507">SUM(C502:T502)</f>
        <v>0</v>
      </c>
    </row>
    <row r="503" spans="1:21" ht="21" customHeight="1">
      <c r="A503" s="179">
        <v>331300</v>
      </c>
      <c r="B503" s="83" t="s">
        <v>277</v>
      </c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431"/>
      <c r="N503" s="91"/>
      <c r="O503" s="91"/>
      <c r="P503" s="91"/>
      <c r="Q503" s="91"/>
      <c r="R503" s="91"/>
      <c r="S503" s="91"/>
      <c r="T503" s="91"/>
      <c r="U503" s="181">
        <f t="shared" si="138"/>
        <v>0</v>
      </c>
    </row>
    <row r="504" spans="1:21" ht="21" customHeight="1">
      <c r="A504" s="179">
        <v>331400</v>
      </c>
      <c r="B504" s="83" t="s">
        <v>274</v>
      </c>
      <c r="C504" s="91">
        <v>7770</v>
      </c>
      <c r="D504" s="91"/>
      <c r="E504" s="91"/>
      <c r="F504" s="91"/>
      <c r="G504" s="91"/>
      <c r="H504" s="91"/>
      <c r="I504" s="91"/>
      <c r="J504" s="91"/>
      <c r="K504" s="91"/>
      <c r="L504" s="91"/>
      <c r="M504" s="431"/>
      <c r="N504" s="91"/>
      <c r="O504" s="91"/>
      <c r="P504" s="91"/>
      <c r="Q504" s="91"/>
      <c r="R504" s="91"/>
      <c r="S504" s="91"/>
      <c r="T504" s="91"/>
      <c r="U504" s="181">
        <f t="shared" si="138"/>
        <v>7770</v>
      </c>
    </row>
    <row r="505" spans="1:21" ht="21" customHeight="1">
      <c r="A505" s="179">
        <v>331500</v>
      </c>
      <c r="B505" s="83" t="s">
        <v>278</v>
      </c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431"/>
      <c r="N505" s="91"/>
      <c r="O505" s="91"/>
      <c r="P505" s="91"/>
      <c r="Q505" s="91"/>
      <c r="R505" s="91"/>
      <c r="S505" s="91"/>
      <c r="T505" s="91"/>
      <c r="U505" s="181">
        <f t="shared" si="138"/>
        <v>0</v>
      </c>
    </row>
    <row r="506" spans="1:21" ht="21" customHeight="1">
      <c r="A506" s="182">
        <v>331700</v>
      </c>
      <c r="B506" s="84" t="s">
        <v>279</v>
      </c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432"/>
      <c r="N506" s="115"/>
      <c r="O506" s="115"/>
      <c r="P506" s="115"/>
      <c r="Q506" s="115"/>
      <c r="R506" s="115"/>
      <c r="S506" s="115"/>
      <c r="T506" s="115"/>
      <c r="U506" s="181">
        <f t="shared" si="138"/>
        <v>0</v>
      </c>
    </row>
    <row r="507" spans="1:21" ht="21" customHeight="1">
      <c r="A507" s="756" t="s">
        <v>252</v>
      </c>
      <c r="B507" s="757"/>
      <c r="C507" s="181">
        <f>SUM(C493:C506)</f>
        <v>40320</v>
      </c>
      <c r="D507" s="181">
        <f aca="true" t="shared" si="139" ref="D507:M507">SUM(D493:D506)</f>
        <v>0</v>
      </c>
      <c r="E507" s="181">
        <f t="shared" si="139"/>
        <v>0</v>
      </c>
      <c r="F507" s="181">
        <f t="shared" si="139"/>
        <v>0</v>
      </c>
      <c r="G507" s="181">
        <f t="shared" si="139"/>
        <v>0</v>
      </c>
      <c r="H507" s="181">
        <f t="shared" si="139"/>
        <v>9500</v>
      </c>
      <c r="I507" s="181">
        <f t="shared" si="139"/>
        <v>0</v>
      </c>
      <c r="J507" s="181">
        <f t="shared" si="139"/>
        <v>0</v>
      </c>
      <c r="K507" s="181">
        <f t="shared" si="139"/>
        <v>0</v>
      </c>
      <c r="L507" s="181">
        <f t="shared" si="139"/>
        <v>0</v>
      </c>
      <c r="M507" s="433">
        <f t="shared" si="139"/>
        <v>0</v>
      </c>
      <c r="N507" s="181">
        <f>SUM(N493:N506)</f>
        <v>0</v>
      </c>
      <c r="O507" s="181">
        <f>SUM(O493:O506)</f>
        <v>0</v>
      </c>
      <c r="P507" s="181"/>
      <c r="Q507" s="181">
        <f>SUM(Q493:Q506)</f>
        <v>0</v>
      </c>
      <c r="R507" s="181">
        <f>SUM(R493:R506)</f>
        <v>0</v>
      </c>
      <c r="S507" s="181">
        <f>SUM(S493:S506)</f>
        <v>22000</v>
      </c>
      <c r="T507" s="181">
        <f>SUM(T493:T506)</f>
        <v>0</v>
      </c>
      <c r="U507" s="181">
        <f t="shared" si="138"/>
        <v>71820</v>
      </c>
    </row>
    <row r="508" spans="1:21" ht="21" customHeight="1">
      <c r="A508" s="758" t="s">
        <v>253</v>
      </c>
      <c r="B508" s="759"/>
      <c r="C508" s="185">
        <f>+C507+C398</f>
        <v>168504</v>
      </c>
      <c r="D508" s="185">
        <f aca="true" t="shared" si="140" ref="D508:U508">+D507+D398</f>
        <v>33298</v>
      </c>
      <c r="E508" s="185">
        <f t="shared" si="140"/>
        <v>0</v>
      </c>
      <c r="F508" s="185">
        <f t="shared" si="140"/>
        <v>0</v>
      </c>
      <c r="G508" s="185">
        <f t="shared" si="140"/>
        <v>0</v>
      </c>
      <c r="H508" s="185">
        <f t="shared" si="140"/>
        <v>81680</v>
      </c>
      <c r="I508" s="185">
        <f t="shared" si="140"/>
        <v>0</v>
      </c>
      <c r="J508" s="185">
        <f t="shared" si="140"/>
        <v>0</v>
      </c>
      <c r="K508" s="185">
        <f t="shared" si="140"/>
        <v>0</v>
      </c>
      <c r="L508" s="185">
        <f t="shared" si="140"/>
        <v>88500</v>
      </c>
      <c r="M508" s="185">
        <f t="shared" si="140"/>
        <v>0</v>
      </c>
      <c r="N508" s="185">
        <f t="shared" si="140"/>
        <v>0</v>
      </c>
      <c r="O508" s="185">
        <f t="shared" si="140"/>
        <v>0</v>
      </c>
      <c r="P508" s="185">
        <f t="shared" si="140"/>
        <v>0</v>
      </c>
      <c r="Q508" s="185">
        <f t="shared" si="140"/>
        <v>0</v>
      </c>
      <c r="R508" s="185">
        <f t="shared" si="140"/>
        <v>0</v>
      </c>
      <c r="S508" s="185">
        <f t="shared" si="140"/>
        <v>45759</v>
      </c>
      <c r="T508" s="185">
        <f t="shared" si="140"/>
        <v>0</v>
      </c>
      <c r="U508" s="185">
        <f t="shared" si="140"/>
        <v>417741</v>
      </c>
    </row>
    <row r="509" spans="1:21" ht="21" customHeight="1">
      <c r="A509" s="771" t="s">
        <v>297</v>
      </c>
      <c r="B509" s="772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434"/>
      <c r="N509" s="186"/>
      <c r="O509" s="186"/>
      <c r="P509" s="186"/>
      <c r="Q509" s="186"/>
      <c r="R509" s="186"/>
      <c r="S509" s="186"/>
      <c r="T509" s="186"/>
      <c r="U509" s="187">
        <f aca="true" t="shared" si="141" ref="U509:U514">SUM(C509:T509)</f>
        <v>0</v>
      </c>
    </row>
    <row r="510" spans="1:21" ht="21" customHeight="1">
      <c r="A510" s="179">
        <v>340100</v>
      </c>
      <c r="B510" s="83" t="s">
        <v>280</v>
      </c>
      <c r="C510" s="91">
        <v>16019.4</v>
      </c>
      <c r="D510" s="91"/>
      <c r="E510" s="91"/>
      <c r="F510" s="91"/>
      <c r="G510" s="91"/>
      <c r="H510" s="91"/>
      <c r="I510" s="91"/>
      <c r="J510" s="91"/>
      <c r="K510" s="91"/>
      <c r="L510" s="91"/>
      <c r="M510" s="431"/>
      <c r="N510" s="91"/>
      <c r="O510" s="91"/>
      <c r="P510" s="91"/>
      <c r="Q510" s="91"/>
      <c r="R510" s="91"/>
      <c r="S510" s="91">
        <v>48791.15</v>
      </c>
      <c r="T510" s="91"/>
      <c r="U510" s="181">
        <f t="shared" si="141"/>
        <v>64810.55</v>
      </c>
    </row>
    <row r="511" spans="1:21" ht="21" customHeight="1">
      <c r="A511" s="179">
        <v>340300</v>
      </c>
      <c r="B511" s="83" t="s">
        <v>281</v>
      </c>
      <c r="C511" s="91">
        <v>582.78</v>
      </c>
      <c r="D511" s="91"/>
      <c r="E511" s="91"/>
      <c r="F511" s="91"/>
      <c r="G511" s="91"/>
      <c r="H511" s="91"/>
      <c r="I511" s="91"/>
      <c r="J511" s="91"/>
      <c r="K511" s="91"/>
      <c r="L511" s="91"/>
      <c r="M511" s="431"/>
      <c r="N511" s="91"/>
      <c r="O511" s="91"/>
      <c r="P511" s="91"/>
      <c r="Q511" s="91"/>
      <c r="R511" s="91"/>
      <c r="S511" s="91"/>
      <c r="T511" s="91"/>
      <c r="U511" s="181">
        <f t="shared" si="141"/>
        <v>582.78</v>
      </c>
    </row>
    <row r="512" spans="1:21" ht="21" customHeight="1">
      <c r="A512" s="179">
        <v>340400</v>
      </c>
      <c r="B512" s="83" t="s">
        <v>282</v>
      </c>
      <c r="C512" s="91">
        <v>4763</v>
      </c>
      <c r="D512" s="91"/>
      <c r="E512" s="91"/>
      <c r="F512" s="91"/>
      <c r="G512" s="91"/>
      <c r="H512" s="91"/>
      <c r="I512" s="91"/>
      <c r="J512" s="91"/>
      <c r="K512" s="91"/>
      <c r="L512" s="91"/>
      <c r="M512" s="431"/>
      <c r="N512" s="91"/>
      <c r="O512" s="91"/>
      <c r="P512" s="91"/>
      <c r="Q512" s="91"/>
      <c r="R512" s="91"/>
      <c r="S512" s="91"/>
      <c r="T512" s="91"/>
      <c r="U512" s="181">
        <f t="shared" si="141"/>
        <v>4763</v>
      </c>
    </row>
    <row r="513" spans="1:21" ht="21" customHeight="1">
      <c r="A513" s="182">
        <v>340500</v>
      </c>
      <c r="B513" s="84" t="s">
        <v>283</v>
      </c>
      <c r="C513" s="91">
        <v>8560</v>
      </c>
      <c r="D513" s="115"/>
      <c r="E513" s="115"/>
      <c r="F513" s="115"/>
      <c r="G513" s="115"/>
      <c r="H513" s="115"/>
      <c r="I513" s="115"/>
      <c r="J513" s="115"/>
      <c r="K513" s="115"/>
      <c r="L513" s="115"/>
      <c r="M513" s="432"/>
      <c r="N513" s="115"/>
      <c r="O513" s="115"/>
      <c r="P513" s="115"/>
      <c r="Q513" s="115"/>
      <c r="R513" s="115"/>
      <c r="S513" s="115"/>
      <c r="T513" s="115"/>
      <c r="U513" s="184">
        <f t="shared" si="141"/>
        <v>8560</v>
      </c>
    </row>
    <row r="514" spans="1:23" ht="21" customHeight="1">
      <c r="A514" s="756" t="s">
        <v>252</v>
      </c>
      <c r="B514" s="757"/>
      <c r="C514" s="181">
        <f>SUM(C510:C513)</f>
        <v>29925.18</v>
      </c>
      <c r="D514" s="181">
        <f aca="true" t="shared" si="142" ref="D514:L514">SUM(D510:D513)</f>
        <v>0</v>
      </c>
      <c r="E514" s="181">
        <f t="shared" si="142"/>
        <v>0</v>
      </c>
      <c r="F514" s="181">
        <f t="shared" si="142"/>
        <v>0</v>
      </c>
      <c r="G514" s="181">
        <f t="shared" si="142"/>
        <v>0</v>
      </c>
      <c r="H514" s="181">
        <f t="shared" si="142"/>
        <v>0</v>
      </c>
      <c r="I514" s="181">
        <f t="shared" si="142"/>
        <v>0</v>
      </c>
      <c r="J514" s="181">
        <f t="shared" si="142"/>
        <v>0</v>
      </c>
      <c r="K514" s="181">
        <f t="shared" si="142"/>
        <v>0</v>
      </c>
      <c r="L514" s="181">
        <f t="shared" si="142"/>
        <v>0</v>
      </c>
      <c r="M514" s="433">
        <f>SUM(M510:M513)</f>
        <v>0</v>
      </c>
      <c r="N514" s="181">
        <f>SUM(N510:N513)</f>
        <v>0</v>
      </c>
      <c r="O514" s="181">
        <f>SUM(O510:O513)</f>
        <v>0</v>
      </c>
      <c r="P514" s="181"/>
      <c r="Q514" s="181">
        <f>SUM(Q510:Q513)</f>
        <v>0</v>
      </c>
      <c r="R514" s="181">
        <f>SUM(R510:R513)</f>
        <v>0</v>
      </c>
      <c r="S514" s="181">
        <f>SUM(S510:S513)</f>
        <v>48791.15</v>
      </c>
      <c r="T514" s="181">
        <f>SUM(T510:T513)</f>
        <v>0</v>
      </c>
      <c r="U514" s="181">
        <f t="shared" si="141"/>
        <v>78716.33</v>
      </c>
      <c r="W514" s="211">
        <f>+U514-V514</f>
        <v>78716.33</v>
      </c>
    </row>
    <row r="515" spans="1:21" ht="21" customHeight="1">
      <c r="A515" s="758" t="s">
        <v>253</v>
      </c>
      <c r="B515" s="759"/>
      <c r="C515" s="185">
        <f>+C514+C405</f>
        <v>129832.78</v>
      </c>
      <c r="D515" s="185">
        <f aca="true" t="shared" si="143" ref="D515:U515">+D514+D405</f>
        <v>0</v>
      </c>
      <c r="E515" s="185">
        <f t="shared" si="143"/>
        <v>0</v>
      </c>
      <c r="F515" s="185">
        <f t="shared" si="143"/>
        <v>0</v>
      </c>
      <c r="G515" s="185">
        <f t="shared" si="143"/>
        <v>0</v>
      </c>
      <c r="H515" s="185">
        <f t="shared" si="143"/>
        <v>3105</v>
      </c>
      <c r="I515" s="185">
        <f t="shared" si="143"/>
        <v>0</v>
      </c>
      <c r="J515" s="185">
        <f t="shared" si="143"/>
        <v>0</v>
      </c>
      <c r="K515" s="185">
        <f t="shared" si="143"/>
        <v>0</v>
      </c>
      <c r="L515" s="185">
        <f t="shared" si="143"/>
        <v>0</v>
      </c>
      <c r="M515" s="185">
        <f t="shared" si="143"/>
        <v>0</v>
      </c>
      <c r="N515" s="185">
        <f t="shared" si="143"/>
        <v>0</v>
      </c>
      <c r="O515" s="185">
        <f t="shared" si="143"/>
        <v>0</v>
      </c>
      <c r="P515" s="185">
        <f t="shared" si="143"/>
        <v>0</v>
      </c>
      <c r="Q515" s="185">
        <f t="shared" si="143"/>
        <v>0</v>
      </c>
      <c r="R515" s="185">
        <f t="shared" si="143"/>
        <v>0</v>
      </c>
      <c r="S515" s="185">
        <f t="shared" si="143"/>
        <v>182170.12</v>
      </c>
      <c r="T515" s="185">
        <f t="shared" si="143"/>
        <v>0</v>
      </c>
      <c r="U515" s="185">
        <f t="shared" si="143"/>
        <v>315107.89999999997</v>
      </c>
    </row>
    <row r="516" spans="1:21" ht="21" customHeight="1">
      <c r="A516" s="771" t="s">
        <v>298</v>
      </c>
      <c r="B516" s="772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434"/>
      <c r="N516" s="186"/>
      <c r="O516" s="186"/>
      <c r="P516" s="186"/>
      <c r="Q516" s="186"/>
      <c r="R516" s="186"/>
      <c r="S516" s="186"/>
      <c r="T516" s="186"/>
      <c r="U516" s="187">
        <f aca="true" t="shared" si="144" ref="U516:U529">SUM(C516:T516)</f>
        <v>0</v>
      </c>
    </row>
    <row r="517" spans="1:21" ht="21" customHeight="1">
      <c r="A517" s="179">
        <v>410400</v>
      </c>
      <c r="B517" s="83" t="s">
        <v>284</v>
      </c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431"/>
      <c r="N517" s="91"/>
      <c r="O517" s="91"/>
      <c r="P517" s="91"/>
      <c r="Q517" s="91"/>
      <c r="R517" s="91"/>
      <c r="S517" s="91"/>
      <c r="T517" s="91"/>
      <c r="U517" s="181">
        <f t="shared" si="144"/>
        <v>0</v>
      </c>
    </row>
    <row r="518" spans="1:21" ht="21" customHeight="1" hidden="1">
      <c r="A518" s="179">
        <v>410200</v>
      </c>
      <c r="B518" s="83" t="s">
        <v>344</v>
      </c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431"/>
      <c r="N518" s="91"/>
      <c r="O518" s="91"/>
      <c r="P518" s="91"/>
      <c r="Q518" s="91"/>
      <c r="R518" s="91"/>
      <c r="S518" s="91"/>
      <c r="T518" s="91"/>
      <c r="U518" s="181">
        <f t="shared" si="144"/>
        <v>0</v>
      </c>
    </row>
    <row r="519" spans="1:21" ht="21" customHeight="1" hidden="1">
      <c r="A519" s="179">
        <v>410300</v>
      </c>
      <c r="B519" s="83" t="s">
        <v>285</v>
      </c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431"/>
      <c r="N519" s="91"/>
      <c r="O519" s="91"/>
      <c r="P519" s="91"/>
      <c r="Q519" s="91"/>
      <c r="R519" s="91"/>
      <c r="S519" s="91"/>
      <c r="T519" s="91"/>
      <c r="U519" s="181">
        <f t="shared" si="144"/>
        <v>0</v>
      </c>
    </row>
    <row r="520" spans="1:21" ht="21" customHeight="1">
      <c r="A520" s="179">
        <v>410400</v>
      </c>
      <c r="B520" s="83" t="s">
        <v>345</v>
      </c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432"/>
      <c r="N520" s="115"/>
      <c r="O520" s="115"/>
      <c r="P520" s="115"/>
      <c r="Q520" s="115"/>
      <c r="R520" s="115"/>
      <c r="S520" s="115"/>
      <c r="T520" s="115"/>
      <c r="U520" s="181">
        <f t="shared" si="144"/>
        <v>0</v>
      </c>
    </row>
    <row r="521" spans="1:21" ht="21" customHeight="1">
      <c r="A521" s="179">
        <v>410500</v>
      </c>
      <c r="B521" s="83" t="s">
        <v>346</v>
      </c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432"/>
      <c r="N521" s="115"/>
      <c r="O521" s="115"/>
      <c r="P521" s="115"/>
      <c r="Q521" s="115"/>
      <c r="R521" s="115"/>
      <c r="S521" s="115"/>
      <c r="T521" s="115"/>
      <c r="U521" s="181">
        <f t="shared" si="144"/>
        <v>0</v>
      </c>
    </row>
    <row r="522" spans="1:21" ht="21" customHeight="1">
      <c r="A522" s="179">
        <v>410600</v>
      </c>
      <c r="B522" s="83" t="s">
        <v>347</v>
      </c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432"/>
      <c r="N522" s="115"/>
      <c r="O522" s="115"/>
      <c r="P522" s="115"/>
      <c r="Q522" s="115"/>
      <c r="R522" s="115"/>
      <c r="S522" s="115"/>
      <c r="T522" s="115"/>
      <c r="U522" s="181">
        <f t="shared" si="144"/>
        <v>0</v>
      </c>
    </row>
    <row r="523" spans="1:21" ht="21" customHeight="1">
      <c r="A523" s="179">
        <v>410700</v>
      </c>
      <c r="B523" s="83" t="s">
        <v>286</v>
      </c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431"/>
      <c r="N523" s="91"/>
      <c r="O523" s="91"/>
      <c r="P523" s="91"/>
      <c r="Q523" s="91"/>
      <c r="R523" s="91"/>
      <c r="S523" s="91"/>
      <c r="T523" s="91"/>
      <c r="U523" s="181">
        <f t="shared" si="144"/>
        <v>0</v>
      </c>
    </row>
    <row r="524" spans="1:21" ht="21" customHeight="1">
      <c r="A524" s="179">
        <v>410800</v>
      </c>
      <c r="B524" s="83" t="s">
        <v>348</v>
      </c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432"/>
      <c r="N524" s="115"/>
      <c r="O524" s="115"/>
      <c r="P524" s="115"/>
      <c r="Q524" s="115"/>
      <c r="R524" s="115"/>
      <c r="S524" s="115"/>
      <c r="T524" s="115"/>
      <c r="U524" s="181">
        <f t="shared" si="144"/>
        <v>0</v>
      </c>
    </row>
    <row r="525" spans="1:21" ht="21" customHeight="1">
      <c r="A525" s="179">
        <v>410900</v>
      </c>
      <c r="B525" s="83" t="s">
        <v>529</v>
      </c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432"/>
      <c r="N525" s="115"/>
      <c r="O525" s="115"/>
      <c r="P525" s="115"/>
      <c r="Q525" s="115"/>
      <c r="R525" s="115"/>
      <c r="S525" s="115"/>
      <c r="T525" s="115"/>
      <c r="U525" s="181">
        <f t="shared" si="144"/>
        <v>0</v>
      </c>
    </row>
    <row r="526" spans="1:21" ht="21" customHeight="1">
      <c r="A526" s="179">
        <v>411100</v>
      </c>
      <c r="B526" s="83" t="s">
        <v>668</v>
      </c>
      <c r="C526" s="115"/>
      <c r="D526" s="115"/>
      <c r="E526" s="115">
        <v>20000</v>
      </c>
      <c r="F526" s="115"/>
      <c r="G526" s="115"/>
      <c r="H526" s="115"/>
      <c r="I526" s="115"/>
      <c r="J526" s="115"/>
      <c r="K526" s="115"/>
      <c r="L526" s="115"/>
      <c r="M526" s="432"/>
      <c r="N526" s="115"/>
      <c r="O526" s="115"/>
      <c r="P526" s="115"/>
      <c r="Q526" s="115"/>
      <c r="R526" s="115"/>
      <c r="S526" s="115"/>
      <c r="T526" s="115"/>
      <c r="U526" s="181"/>
    </row>
    <row r="527" spans="1:21" ht="21" customHeight="1">
      <c r="A527" s="179">
        <v>411600</v>
      </c>
      <c r="B527" s="83" t="s">
        <v>349</v>
      </c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431"/>
      <c r="N527" s="91"/>
      <c r="O527" s="91"/>
      <c r="P527" s="91"/>
      <c r="Q527" s="91"/>
      <c r="R527" s="91"/>
      <c r="S527" s="91"/>
      <c r="T527" s="91"/>
      <c r="U527" s="181">
        <f t="shared" si="144"/>
        <v>0</v>
      </c>
    </row>
    <row r="528" spans="1:21" ht="21" customHeight="1" hidden="1">
      <c r="A528" s="179">
        <v>411800</v>
      </c>
      <c r="B528" s="83" t="s">
        <v>287</v>
      </c>
      <c r="C528" s="91"/>
      <c r="D528" s="91"/>
      <c r="E528" s="91"/>
      <c r="F528" s="91"/>
      <c r="G528" s="91"/>
      <c r="H528" s="91"/>
      <c r="I528" s="91"/>
      <c r="J528" s="91"/>
      <c r="K528" s="91">
        <v>0</v>
      </c>
      <c r="L528" s="91"/>
      <c r="M528" s="431"/>
      <c r="N528" s="91"/>
      <c r="O528" s="91"/>
      <c r="P528" s="91"/>
      <c r="Q528" s="91"/>
      <c r="R528" s="91"/>
      <c r="S528" s="91"/>
      <c r="T528" s="91"/>
      <c r="U528" s="181">
        <f t="shared" si="144"/>
        <v>0</v>
      </c>
    </row>
    <row r="529" spans="1:21" ht="21" customHeight="1">
      <c r="A529" s="756" t="s">
        <v>252</v>
      </c>
      <c r="B529" s="757"/>
      <c r="C529" s="181">
        <f>SUM(C517:C528)</f>
        <v>0</v>
      </c>
      <c r="D529" s="181">
        <f aca="true" t="shared" si="145" ref="D529:L529">SUM(D517:D528)</f>
        <v>0</v>
      </c>
      <c r="E529" s="181">
        <f t="shared" si="145"/>
        <v>20000</v>
      </c>
      <c r="F529" s="181">
        <f t="shared" si="145"/>
        <v>0</v>
      </c>
      <c r="G529" s="181">
        <f t="shared" si="145"/>
        <v>0</v>
      </c>
      <c r="H529" s="181">
        <f t="shared" si="145"/>
        <v>0</v>
      </c>
      <c r="I529" s="181">
        <f t="shared" si="145"/>
        <v>0</v>
      </c>
      <c r="J529" s="181">
        <f t="shared" si="145"/>
        <v>0</v>
      </c>
      <c r="K529" s="181">
        <f t="shared" si="145"/>
        <v>0</v>
      </c>
      <c r="L529" s="181">
        <f t="shared" si="145"/>
        <v>0</v>
      </c>
      <c r="M529" s="433">
        <f>SUM(M517:M528)</f>
        <v>0</v>
      </c>
      <c r="N529" s="181">
        <f>SUM(N517:N528)</f>
        <v>0</v>
      </c>
      <c r="O529" s="181">
        <f>SUM(O517:O528)</f>
        <v>0</v>
      </c>
      <c r="P529" s="181"/>
      <c r="Q529" s="181">
        <f>SUM(Q517:Q528)</f>
        <v>0</v>
      </c>
      <c r="R529" s="181">
        <f>SUM(R517:R528)</f>
        <v>0</v>
      </c>
      <c r="S529" s="181">
        <f>SUM(S517:S528)</f>
        <v>0</v>
      </c>
      <c r="T529" s="181">
        <f>SUM(T517:T528)</f>
        <v>0</v>
      </c>
      <c r="U529" s="181">
        <f t="shared" si="144"/>
        <v>20000</v>
      </c>
    </row>
    <row r="530" spans="1:21" ht="21" customHeight="1">
      <c r="A530" s="758" t="s">
        <v>253</v>
      </c>
      <c r="B530" s="759"/>
      <c r="C530" s="185">
        <f>+C529+C419</f>
        <v>7470</v>
      </c>
      <c r="D530" s="185">
        <f aca="true" t="shared" si="146" ref="D530:U530">+D529+D419</f>
        <v>0</v>
      </c>
      <c r="E530" s="185">
        <f t="shared" si="146"/>
        <v>20000</v>
      </c>
      <c r="F530" s="185">
        <f t="shared" si="146"/>
        <v>0</v>
      </c>
      <c r="G530" s="185">
        <f t="shared" si="146"/>
        <v>0</v>
      </c>
      <c r="H530" s="185">
        <f t="shared" si="146"/>
        <v>0</v>
      </c>
      <c r="I530" s="185">
        <f t="shared" si="146"/>
        <v>0</v>
      </c>
      <c r="J530" s="185">
        <f t="shared" si="146"/>
        <v>86160</v>
      </c>
      <c r="K530" s="185">
        <f t="shared" si="146"/>
        <v>0</v>
      </c>
      <c r="L530" s="185">
        <f t="shared" si="146"/>
        <v>0</v>
      </c>
      <c r="M530" s="185">
        <f t="shared" si="146"/>
        <v>0</v>
      </c>
      <c r="N530" s="185">
        <f t="shared" si="146"/>
        <v>0</v>
      </c>
      <c r="O530" s="185">
        <f t="shared" si="146"/>
        <v>0</v>
      </c>
      <c r="P530" s="185">
        <f t="shared" si="146"/>
        <v>0</v>
      </c>
      <c r="Q530" s="185">
        <f t="shared" si="146"/>
        <v>0</v>
      </c>
      <c r="R530" s="185">
        <f t="shared" si="146"/>
        <v>0</v>
      </c>
      <c r="S530" s="185">
        <f t="shared" si="146"/>
        <v>0</v>
      </c>
      <c r="T530" s="185">
        <f t="shared" si="146"/>
        <v>0</v>
      </c>
      <c r="U530" s="185">
        <f t="shared" si="146"/>
        <v>113630</v>
      </c>
    </row>
    <row r="531" spans="1:21" ht="21" customHeight="1">
      <c r="A531" s="769" t="s">
        <v>216</v>
      </c>
      <c r="B531" s="769"/>
      <c r="C531" s="768" t="s">
        <v>218</v>
      </c>
      <c r="D531" s="768"/>
      <c r="E531" s="501" t="s">
        <v>221</v>
      </c>
      <c r="F531" s="768" t="s">
        <v>223</v>
      </c>
      <c r="G531" s="769"/>
      <c r="H531" s="501" t="s">
        <v>237</v>
      </c>
      <c r="I531" s="501" t="s">
        <v>238</v>
      </c>
      <c r="J531" s="765" t="s">
        <v>239</v>
      </c>
      <c r="K531" s="766"/>
      <c r="L531" s="767"/>
      <c r="M531" s="502" t="s">
        <v>240</v>
      </c>
      <c r="N531" s="765" t="s">
        <v>241</v>
      </c>
      <c r="O531" s="766"/>
      <c r="P531" s="767"/>
      <c r="Q531" s="768" t="s">
        <v>242</v>
      </c>
      <c r="R531" s="769"/>
      <c r="S531" s="501" t="s">
        <v>306</v>
      </c>
      <c r="T531" s="501" t="s">
        <v>243</v>
      </c>
      <c r="U531" s="770" t="s">
        <v>17</v>
      </c>
    </row>
    <row r="532" spans="1:21" ht="21" customHeight="1">
      <c r="A532" s="769" t="s">
        <v>217</v>
      </c>
      <c r="B532" s="769"/>
      <c r="C532" s="501" t="s">
        <v>219</v>
      </c>
      <c r="D532" s="501" t="s">
        <v>220</v>
      </c>
      <c r="E532" s="501" t="s">
        <v>312</v>
      </c>
      <c r="F532" s="501" t="s">
        <v>224</v>
      </c>
      <c r="G532" s="501" t="s">
        <v>225</v>
      </c>
      <c r="H532" s="501" t="s">
        <v>227</v>
      </c>
      <c r="I532" s="501" t="s">
        <v>228</v>
      </c>
      <c r="J532" s="501" t="s">
        <v>229</v>
      </c>
      <c r="K532" s="501" t="s">
        <v>230</v>
      </c>
      <c r="L532" s="501" t="s">
        <v>431</v>
      </c>
      <c r="M532" s="502" t="s">
        <v>231</v>
      </c>
      <c r="N532" s="501" t="s">
        <v>232</v>
      </c>
      <c r="O532" s="501" t="s">
        <v>233</v>
      </c>
      <c r="P532" s="501" t="s">
        <v>314</v>
      </c>
      <c r="Q532" s="501" t="s">
        <v>234</v>
      </c>
      <c r="R532" s="501" t="s">
        <v>235</v>
      </c>
      <c r="S532" s="501" t="s">
        <v>307</v>
      </c>
      <c r="T532" s="501" t="s">
        <v>236</v>
      </c>
      <c r="U532" s="770"/>
    </row>
    <row r="533" spans="1:21" ht="21" customHeight="1">
      <c r="A533" s="771" t="s">
        <v>299</v>
      </c>
      <c r="B533" s="772"/>
      <c r="C533" s="186"/>
      <c r="D533" s="186"/>
      <c r="E533" s="186"/>
      <c r="F533" s="186"/>
      <c r="G533" s="186"/>
      <c r="H533" s="186"/>
      <c r="I533" s="186"/>
      <c r="J533" s="186"/>
      <c r="K533" s="186"/>
      <c r="L533" s="186"/>
      <c r="M533" s="434"/>
      <c r="N533" s="186"/>
      <c r="O533" s="186"/>
      <c r="P533" s="186"/>
      <c r="Q533" s="186"/>
      <c r="R533" s="186"/>
      <c r="S533" s="186"/>
      <c r="T533" s="186"/>
      <c r="U533" s="187">
        <f>SUM(C533:T533)</f>
        <v>0</v>
      </c>
    </row>
    <row r="534" spans="1:21" ht="21" customHeight="1">
      <c r="A534" s="179">
        <v>429000</v>
      </c>
      <c r="B534" s="180" t="s">
        <v>10</v>
      </c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431"/>
      <c r="N534" s="91"/>
      <c r="O534" s="91"/>
      <c r="P534" s="91"/>
      <c r="Q534" s="91"/>
      <c r="R534" s="91"/>
      <c r="S534" s="91"/>
      <c r="T534" s="91"/>
      <c r="U534" s="181">
        <f>SUM(C534:T534)</f>
        <v>0</v>
      </c>
    </row>
    <row r="535" spans="1:21" ht="21" customHeight="1">
      <c r="A535" s="182">
        <v>421000</v>
      </c>
      <c r="B535" s="183" t="s">
        <v>303</v>
      </c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432"/>
      <c r="N535" s="115"/>
      <c r="O535" s="115"/>
      <c r="P535" s="115"/>
      <c r="Q535" s="115"/>
      <c r="R535" s="115"/>
      <c r="S535" s="115"/>
      <c r="T535" s="115"/>
      <c r="U535" s="184">
        <f>SUM(C535:T535)</f>
        <v>0</v>
      </c>
    </row>
    <row r="536" spans="1:21" ht="21" customHeight="1">
      <c r="A536" s="756" t="s">
        <v>252</v>
      </c>
      <c r="B536" s="757"/>
      <c r="C536" s="181">
        <f>SUM(C534:C535)</f>
        <v>0</v>
      </c>
      <c r="D536" s="181">
        <f aca="true" t="shared" si="147" ref="D536:S536">SUM(D534:D535)</f>
        <v>0</v>
      </c>
      <c r="E536" s="181">
        <f t="shared" si="147"/>
        <v>0</v>
      </c>
      <c r="F536" s="181">
        <f t="shared" si="147"/>
        <v>0</v>
      </c>
      <c r="G536" s="181">
        <f t="shared" si="147"/>
        <v>0</v>
      </c>
      <c r="H536" s="181">
        <f t="shared" si="147"/>
        <v>0</v>
      </c>
      <c r="I536" s="181">
        <f t="shared" si="147"/>
        <v>0</v>
      </c>
      <c r="J536" s="181">
        <f t="shared" si="147"/>
        <v>0</v>
      </c>
      <c r="K536" s="181">
        <f t="shared" si="147"/>
        <v>0</v>
      </c>
      <c r="L536" s="181">
        <f t="shared" si="147"/>
        <v>0</v>
      </c>
      <c r="M536" s="433">
        <f t="shared" si="147"/>
        <v>0</v>
      </c>
      <c r="N536" s="181">
        <f t="shared" si="147"/>
        <v>0</v>
      </c>
      <c r="O536" s="181">
        <f t="shared" si="147"/>
        <v>0</v>
      </c>
      <c r="P536" s="181">
        <f t="shared" si="147"/>
        <v>0</v>
      </c>
      <c r="Q536" s="181">
        <f t="shared" si="147"/>
        <v>0</v>
      </c>
      <c r="R536" s="181">
        <f t="shared" si="147"/>
        <v>0</v>
      </c>
      <c r="S536" s="181">
        <f t="shared" si="147"/>
        <v>0</v>
      </c>
      <c r="T536" s="181">
        <f>SUM(T534:T535)</f>
        <v>0</v>
      </c>
      <c r="U536" s="181">
        <f>SUM(C536:T536)</f>
        <v>0</v>
      </c>
    </row>
    <row r="537" spans="1:21" ht="21" customHeight="1">
      <c r="A537" s="758" t="s">
        <v>253</v>
      </c>
      <c r="B537" s="759"/>
      <c r="C537" s="185">
        <f>+C536+C426</f>
        <v>0</v>
      </c>
      <c r="D537" s="185">
        <f aca="true" t="shared" si="148" ref="D537:U537">+D536+D426</f>
        <v>0</v>
      </c>
      <c r="E537" s="185">
        <f t="shared" si="148"/>
        <v>0</v>
      </c>
      <c r="F537" s="185">
        <f t="shared" si="148"/>
        <v>0</v>
      </c>
      <c r="G537" s="185">
        <f t="shared" si="148"/>
        <v>0</v>
      </c>
      <c r="H537" s="185">
        <f t="shared" si="148"/>
        <v>0</v>
      </c>
      <c r="I537" s="185">
        <f t="shared" si="148"/>
        <v>0</v>
      </c>
      <c r="J537" s="185">
        <f t="shared" si="148"/>
        <v>0</v>
      </c>
      <c r="K537" s="185">
        <f t="shared" si="148"/>
        <v>132200</v>
      </c>
      <c r="L537" s="185">
        <f t="shared" si="148"/>
        <v>0</v>
      </c>
      <c r="M537" s="185">
        <f t="shared" si="148"/>
        <v>0</v>
      </c>
      <c r="N537" s="185">
        <f t="shared" si="148"/>
        <v>0</v>
      </c>
      <c r="O537" s="185">
        <f t="shared" si="148"/>
        <v>0</v>
      </c>
      <c r="P537" s="185">
        <f t="shared" si="148"/>
        <v>0</v>
      </c>
      <c r="Q537" s="185">
        <f t="shared" si="148"/>
        <v>0</v>
      </c>
      <c r="R537" s="185">
        <f t="shared" si="148"/>
        <v>0</v>
      </c>
      <c r="S537" s="185">
        <f t="shared" si="148"/>
        <v>0</v>
      </c>
      <c r="T537" s="185">
        <f t="shared" si="148"/>
        <v>0</v>
      </c>
      <c r="U537" s="185">
        <f t="shared" si="148"/>
        <v>132200</v>
      </c>
    </row>
    <row r="538" spans="1:21" ht="21" customHeight="1">
      <c r="A538" s="771" t="s">
        <v>300</v>
      </c>
      <c r="B538" s="772"/>
      <c r="C538" s="186"/>
      <c r="D538" s="186"/>
      <c r="E538" s="186"/>
      <c r="F538" s="186"/>
      <c r="G538" s="186"/>
      <c r="H538" s="186"/>
      <c r="I538" s="186"/>
      <c r="J538" s="186"/>
      <c r="K538" s="186"/>
      <c r="L538" s="186"/>
      <c r="M538" s="434"/>
      <c r="N538" s="186"/>
      <c r="O538" s="186"/>
      <c r="P538" s="186"/>
      <c r="Q538" s="186"/>
      <c r="R538" s="186"/>
      <c r="S538" s="186"/>
      <c r="T538" s="186"/>
      <c r="U538" s="187">
        <f>SUM(C538:T538)</f>
        <v>0</v>
      </c>
    </row>
    <row r="539" spans="1:21" ht="21" customHeight="1">
      <c r="A539" s="179">
        <v>610100</v>
      </c>
      <c r="B539" s="188" t="s">
        <v>302</v>
      </c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431"/>
      <c r="N539" s="91"/>
      <c r="O539" s="91"/>
      <c r="P539" s="91"/>
      <c r="Q539" s="91"/>
      <c r="R539" s="91"/>
      <c r="S539" s="91"/>
      <c r="T539" s="91"/>
      <c r="U539" s="181">
        <f>SUM(C539:T539)</f>
        <v>0</v>
      </c>
    </row>
    <row r="540" spans="1:21" ht="21" customHeight="1">
      <c r="A540" s="179">
        <v>610200</v>
      </c>
      <c r="B540" s="180" t="s">
        <v>288</v>
      </c>
      <c r="C540" s="91"/>
      <c r="D540" s="91"/>
      <c r="E540" s="91"/>
      <c r="F540" s="91"/>
      <c r="G540" s="91"/>
      <c r="H540" s="91">
        <v>0</v>
      </c>
      <c r="I540" s="91"/>
      <c r="J540" s="91"/>
      <c r="K540" s="91"/>
      <c r="L540" s="91"/>
      <c r="M540" s="431"/>
      <c r="N540" s="91"/>
      <c r="O540" s="91"/>
      <c r="P540" s="91"/>
      <c r="Q540" s="91"/>
      <c r="R540" s="91"/>
      <c r="S540" s="91"/>
      <c r="T540" s="91"/>
      <c r="U540" s="181">
        <f>SUM(C540:T540)</f>
        <v>0</v>
      </c>
    </row>
    <row r="541" spans="1:21" ht="21" customHeight="1">
      <c r="A541" s="182">
        <v>610400</v>
      </c>
      <c r="B541" s="183" t="s">
        <v>301</v>
      </c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432"/>
      <c r="N541" s="115"/>
      <c r="O541" s="115"/>
      <c r="P541" s="115"/>
      <c r="Q541" s="115"/>
      <c r="R541" s="115"/>
      <c r="S541" s="115"/>
      <c r="T541" s="115"/>
      <c r="U541" s="184">
        <f>SUM(C541:T541)</f>
        <v>0</v>
      </c>
    </row>
    <row r="542" spans="1:21" ht="21" customHeight="1">
      <c r="A542" s="756" t="s">
        <v>252</v>
      </c>
      <c r="B542" s="757"/>
      <c r="C542" s="181">
        <f aca="true" t="shared" si="149" ref="C542:O542">SUM(C539:C541)</f>
        <v>0</v>
      </c>
      <c r="D542" s="181">
        <f t="shared" si="149"/>
        <v>0</v>
      </c>
      <c r="E542" s="181">
        <f t="shared" si="149"/>
        <v>0</v>
      </c>
      <c r="F542" s="181">
        <f t="shared" si="149"/>
        <v>0</v>
      </c>
      <c r="G542" s="181">
        <f t="shared" si="149"/>
        <v>0</v>
      </c>
      <c r="H542" s="181">
        <f t="shared" si="149"/>
        <v>0</v>
      </c>
      <c r="I542" s="181">
        <f t="shared" si="149"/>
        <v>0</v>
      </c>
      <c r="J542" s="181">
        <f t="shared" si="149"/>
        <v>0</v>
      </c>
      <c r="K542" s="181">
        <f t="shared" si="149"/>
        <v>0</v>
      </c>
      <c r="L542" s="181">
        <f t="shared" si="149"/>
        <v>0</v>
      </c>
      <c r="M542" s="433">
        <f t="shared" si="149"/>
        <v>0</v>
      </c>
      <c r="N542" s="181">
        <f t="shared" si="149"/>
        <v>0</v>
      </c>
      <c r="O542" s="181">
        <f t="shared" si="149"/>
        <v>0</v>
      </c>
      <c r="P542" s="181"/>
      <c r="Q542" s="181">
        <f>SUM(Q539:Q541)</f>
        <v>0</v>
      </c>
      <c r="R542" s="181">
        <f>SUM(R539:R541)</f>
        <v>0</v>
      </c>
      <c r="S542" s="181">
        <f>SUM(S539:S541)</f>
        <v>0</v>
      </c>
      <c r="T542" s="181">
        <f>SUM(T539:T541)</f>
        <v>0</v>
      </c>
      <c r="U542" s="181">
        <f>SUM(C542:T542)</f>
        <v>0</v>
      </c>
    </row>
    <row r="543" spans="1:21" ht="21" customHeight="1">
      <c r="A543" s="758" t="s">
        <v>253</v>
      </c>
      <c r="B543" s="759"/>
      <c r="C543" s="185">
        <f>+C542+C432</f>
        <v>20000</v>
      </c>
      <c r="D543" s="185">
        <f aca="true" t="shared" si="150" ref="D543:U543">+D542+D432</f>
        <v>0</v>
      </c>
      <c r="E543" s="185">
        <f t="shared" si="150"/>
        <v>0</v>
      </c>
      <c r="F543" s="185">
        <f t="shared" si="150"/>
        <v>0</v>
      </c>
      <c r="G543" s="185">
        <f t="shared" si="150"/>
        <v>1842000</v>
      </c>
      <c r="H543" s="185">
        <f t="shared" si="150"/>
        <v>0</v>
      </c>
      <c r="I543" s="185">
        <f t="shared" si="150"/>
        <v>0</v>
      </c>
      <c r="J543" s="185">
        <f t="shared" si="150"/>
        <v>0</v>
      </c>
      <c r="K543" s="185">
        <f t="shared" si="150"/>
        <v>0</v>
      </c>
      <c r="L543" s="185">
        <f t="shared" si="150"/>
        <v>0</v>
      </c>
      <c r="M543" s="185">
        <f t="shared" si="150"/>
        <v>71000</v>
      </c>
      <c r="N543" s="185">
        <f t="shared" si="150"/>
        <v>0</v>
      </c>
      <c r="O543" s="185">
        <f t="shared" si="150"/>
        <v>0</v>
      </c>
      <c r="P543" s="185">
        <f t="shared" si="150"/>
        <v>0</v>
      </c>
      <c r="Q543" s="185">
        <f t="shared" si="150"/>
        <v>0</v>
      </c>
      <c r="R543" s="185">
        <f t="shared" si="150"/>
        <v>0</v>
      </c>
      <c r="S543" s="185">
        <f t="shared" si="150"/>
        <v>0</v>
      </c>
      <c r="T543" s="185">
        <f t="shared" si="150"/>
        <v>0</v>
      </c>
      <c r="U543" s="185">
        <f t="shared" si="150"/>
        <v>1933000</v>
      </c>
    </row>
    <row r="544" spans="1:21" ht="21" customHeight="1" hidden="1">
      <c r="A544" s="771" t="s">
        <v>304</v>
      </c>
      <c r="B544" s="772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434"/>
      <c r="N544" s="186"/>
      <c r="O544" s="186"/>
      <c r="P544" s="186"/>
      <c r="Q544" s="186"/>
      <c r="R544" s="186"/>
      <c r="S544" s="186"/>
      <c r="T544" s="186"/>
      <c r="U544" s="187">
        <f>SUM(C544:T544)</f>
        <v>0</v>
      </c>
    </row>
    <row r="545" spans="1:21" ht="21" customHeight="1" hidden="1">
      <c r="A545" s="179">
        <v>551000</v>
      </c>
      <c r="B545" s="180" t="s">
        <v>12</v>
      </c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431"/>
      <c r="N545" s="91"/>
      <c r="O545" s="91"/>
      <c r="P545" s="91"/>
      <c r="Q545" s="91"/>
      <c r="R545" s="91"/>
      <c r="S545" s="91"/>
      <c r="T545" s="91"/>
      <c r="U545" s="181">
        <f>SUM(C545:T545)</f>
        <v>0</v>
      </c>
    </row>
    <row r="546" spans="1:21" ht="21" customHeight="1" hidden="1">
      <c r="A546" s="182">
        <v>510100</v>
      </c>
      <c r="B546" s="183" t="s">
        <v>305</v>
      </c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432"/>
      <c r="N546" s="115"/>
      <c r="O546" s="115"/>
      <c r="P546" s="115"/>
      <c r="Q546" s="115"/>
      <c r="R546" s="115"/>
      <c r="S546" s="115"/>
      <c r="T546" s="115"/>
      <c r="U546" s="184">
        <f>SUM(C546:T546)</f>
        <v>0</v>
      </c>
    </row>
    <row r="547" spans="1:21" ht="21" customHeight="1" hidden="1">
      <c r="A547" s="756" t="s">
        <v>252</v>
      </c>
      <c r="B547" s="757"/>
      <c r="C547" s="181">
        <f>SUM(C545:C546)</f>
        <v>0</v>
      </c>
      <c r="D547" s="181">
        <f aca="true" t="shared" si="151" ref="D547:O547">SUM(D545:D546)</f>
        <v>0</v>
      </c>
      <c r="E547" s="181">
        <f t="shared" si="151"/>
        <v>0</v>
      </c>
      <c r="F547" s="181">
        <f t="shared" si="151"/>
        <v>0</v>
      </c>
      <c r="G547" s="181">
        <f t="shared" si="151"/>
        <v>0</v>
      </c>
      <c r="H547" s="181">
        <f t="shared" si="151"/>
        <v>0</v>
      </c>
      <c r="I547" s="181">
        <f t="shared" si="151"/>
        <v>0</v>
      </c>
      <c r="J547" s="181">
        <f t="shared" si="151"/>
        <v>0</v>
      </c>
      <c r="K547" s="181">
        <f t="shared" si="151"/>
        <v>0</v>
      </c>
      <c r="L547" s="181">
        <f t="shared" si="151"/>
        <v>0</v>
      </c>
      <c r="M547" s="433">
        <f t="shared" si="151"/>
        <v>0</v>
      </c>
      <c r="N547" s="181">
        <f t="shared" si="151"/>
        <v>0</v>
      </c>
      <c r="O547" s="181">
        <f t="shared" si="151"/>
        <v>0</v>
      </c>
      <c r="P547" s="181"/>
      <c r="Q547" s="181">
        <f>SUM(Q545:Q546)</f>
        <v>0</v>
      </c>
      <c r="R547" s="181">
        <f>SUM(R545:R546)</f>
        <v>0</v>
      </c>
      <c r="S547" s="181">
        <f>SUM(S545:S546)</f>
        <v>0</v>
      </c>
      <c r="T547" s="181">
        <f>SUM(T545:T546)</f>
        <v>0</v>
      </c>
      <c r="U547" s="181">
        <f>SUM(C547:T547)</f>
        <v>0</v>
      </c>
    </row>
    <row r="548" spans="1:21" ht="21" customHeight="1" hidden="1">
      <c r="A548" s="758" t="s">
        <v>253</v>
      </c>
      <c r="B548" s="759"/>
      <c r="C548" s="185">
        <f>+C547+C437</f>
        <v>0</v>
      </c>
      <c r="D548" s="185">
        <f aca="true" t="shared" si="152" ref="D548:U548">+D547+D437</f>
        <v>0</v>
      </c>
      <c r="E548" s="185">
        <f t="shared" si="152"/>
        <v>0</v>
      </c>
      <c r="F548" s="185">
        <f t="shared" si="152"/>
        <v>0</v>
      </c>
      <c r="G548" s="185">
        <f t="shared" si="152"/>
        <v>0</v>
      </c>
      <c r="H548" s="185">
        <f t="shared" si="152"/>
        <v>0</v>
      </c>
      <c r="I548" s="185">
        <f t="shared" si="152"/>
        <v>0</v>
      </c>
      <c r="J548" s="185">
        <f t="shared" si="152"/>
        <v>0</v>
      </c>
      <c r="K548" s="185">
        <f t="shared" si="152"/>
        <v>0</v>
      </c>
      <c r="L548" s="185">
        <f t="shared" si="152"/>
        <v>0</v>
      </c>
      <c r="M548" s="185">
        <f t="shared" si="152"/>
        <v>0</v>
      </c>
      <c r="N548" s="185">
        <f t="shared" si="152"/>
        <v>0</v>
      </c>
      <c r="O548" s="185">
        <f t="shared" si="152"/>
        <v>0</v>
      </c>
      <c r="P548" s="185">
        <f t="shared" si="152"/>
        <v>0</v>
      </c>
      <c r="Q548" s="185">
        <f t="shared" si="152"/>
        <v>0</v>
      </c>
      <c r="R548" s="185">
        <f t="shared" si="152"/>
        <v>0</v>
      </c>
      <c r="S548" s="185">
        <f t="shared" si="152"/>
        <v>0</v>
      </c>
      <c r="T548" s="185">
        <f t="shared" si="152"/>
        <v>0</v>
      </c>
      <c r="U548" s="185">
        <f t="shared" si="152"/>
        <v>0</v>
      </c>
    </row>
    <row r="549" spans="1:23" ht="21" customHeight="1" hidden="1">
      <c r="A549" s="760" t="s">
        <v>252</v>
      </c>
      <c r="B549" s="761"/>
      <c r="C549" s="56">
        <f aca="true" t="shared" si="153" ref="C549:T549">SUM(C454,C462,C474,C483,C490,C507,C514,C529,C536,C542,C547)</f>
        <v>816848.85</v>
      </c>
      <c r="D549" s="56">
        <f t="shared" si="153"/>
        <v>200784</v>
      </c>
      <c r="E549" s="56">
        <f t="shared" si="153"/>
        <v>39000</v>
      </c>
      <c r="F549" s="56">
        <f t="shared" si="153"/>
        <v>4776</v>
      </c>
      <c r="G549" s="56">
        <f t="shared" si="153"/>
        <v>0</v>
      </c>
      <c r="H549" s="56">
        <f t="shared" si="153"/>
        <v>16500</v>
      </c>
      <c r="I549" s="56">
        <f t="shared" si="153"/>
        <v>0</v>
      </c>
      <c r="J549" s="56">
        <f t="shared" si="153"/>
        <v>150039</v>
      </c>
      <c r="K549" s="56">
        <f t="shared" si="153"/>
        <v>0</v>
      </c>
      <c r="L549" s="56">
        <f t="shared" si="153"/>
        <v>37317.5</v>
      </c>
      <c r="M549" s="435">
        <f t="shared" si="153"/>
        <v>4030</v>
      </c>
      <c r="N549" s="56">
        <f t="shared" si="153"/>
        <v>0</v>
      </c>
      <c r="O549" s="56">
        <f t="shared" si="153"/>
        <v>0</v>
      </c>
      <c r="P549" s="56">
        <f t="shared" si="153"/>
        <v>0</v>
      </c>
      <c r="Q549" s="56">
        <f t="shared" si="153"/>
        <v>0</v>
      </c>
      <c r="R549" s="56">
        <f t="shared" si="153"/>
        <v>0</v>
      </c>
      <c r="S549" s="56">
        <f t="shared" si="153"/>
        <v>78791.15</v>
      </c>
      <c r="T549" s="56">
        <f t="shared" si="153"/>
        <v>14995</v>
      </c>
      <c r="U549" s="56">
        <f>SUM(C549:T549)</f>
        <v>1363081.5</v>
      </c>
      <c r="V549" s="177">
        <f>1363230.833-149.33</f>
        <v>1363081.503</v>
      </c>
      <c r="W549" s="211">
        <f>+V549-U549</f>
        <v>0.003000000026077032</v>
      </c>
    </row>
    <row r="550" spans="1:22" ht="21" customHeight="1" hidden="1">
      <c r="A550" s="760" t="s">
        <v>253</v>
      </c>
      <c r="B550" s="761"/>
      <c r="C550" s="56">
        <f aca="true" t="shared" si="154" ref="C550:T550">SUM(C455,C463,C475,C484,C491,C508,C515,C530,C537,C543,C548)</f>
        <v>3849117.6799999997</v>
      </c>
      <c r="D550" s="56">
        <f t="shared" si="154"/>
        <v>676383.5800000001</v>
      </c>
      <c r="E550" s="56">
        <f t="shared" si="154"/>
        <v>52240</v>
      </c>
      <c r="F550" s="56">
        <f t="shared" si="154"/>
        <v>42936</v>
      </c>
      <c r="G550" s="56">
        <f t="shared" si="154"/>
        <v>2365200</v>
      </c>
      <c r="H550" s="56">
        <f t="shared" si="154"/>
        <v>105785</v>
      </c>
      <c r="I550" s="56">
        <f t="shared" si="154"/>
        <v>0</v>
      </c>
      <c r="J550" s="56">
        <f t="shared" si="154"/>
        <v>464869</v>
      </c>
      <c r="K550" s="56">
        <f t="shared" si="154"/>
        <v>132200</v>
      </c>
      <c r="L550" s="56">
        <f t="shared" si="154"/>
        <v>252798.75</v>
      </c>
      <c r="M550" s="435">
        <f t="shared" si="154"/>
        <v>171165</v>
      </c>
      <c r="N550" s="56">
        <f t="shared" si="154"/>
        <v>10000</v>
      </c>
      <c r="O550" s="56">
        <f t="shared" si="154"/>
        <v>163890</v>
      </c>
      <c r="P550" s="56">
        <f t="shared" si="154"/>
        <v>0</v>
      </c>
      <c r="Q550" s="56">
        <f t="shared" si="154"/>
        <v>0</v>
      </c>
      <c r="R550" s="56">
        <f t="shared" si="154"/>
        <v>0</v>
      </c>
      <c r="S550" s="56">
        <f t="shared" si="154"/>
        <v>259929.12</v>
      </c>
      <c r="T550" s="56">
        <f t="shared" si="154"/>
        <v>596714.61</v>
      </c>
      <c r="U550" s="56">
        <f>SUM(C550:T550)</f>
        <v>9143228.739999998</v>
      </c>
      <c r="V550" s="177">
        <f>+U439</f>
        <v>7780147.24</v>
      </c>
    </row>
    <row r="551" spans="1:22" ht="21" customHeight="1">
      <c r="A551" s="763" t="s">
        <v>621</v>
      </c>
      <c r="B551" s="763"/>
      <c r="C551" s="763"/>
      <c r="D551" s="763"/>
      <c r="E551" s="763"/>
      <c r="F551" s="763"/>
      <c r="G551" s="763"/>
      <c r="H551" s="763"/>
      <c r="I551" s="763"/>
      <c r="J551" s="763"/>
      <c r="K551" s="763"/>
      <c r="L551" s="763"/>
      <c r="M551" s="762" t="str">
        <f>+A551</f>
        <v>เทศบาลตำบลเขาพระ อำเภอพิปูน จังหวัดนครศรีธรรมราช</v>
      </c>
      <c r="N551" s="762"/>
      <c r="O551" s="762"/>
      <c r="P551" s="762"/>
      <c r="Q551" s="762"/>
      <c r="R551" s="762"/>
      <c r="S551" s="762"/>
      <c r="T551" s="762"/>
      <c r="U551" s="762"/>
      <c r="V551" s="177">
        <f>+V550+V549</f>
        <v>9143228.743</v>
      </c>
    </row>
    <row r="552" spans="1:21" ht="21" customHeight="1">
      <c r="A552" s="763" t="s">
        <v>215</v>
      </c>
      <c r="B552" s="763"/>
      <c r="C552" s="763"/>
      <c r="D552" s="763"/>
      <c r="E552" s="763"/>
      <c r="F552" s="763"/>
      <c r="G552" s="763"/>
      <c r="H552" s="763"/>
      <c r="I552" s="763"/>
      <c r="J552" s="763"/>
      <c r="K552" s="763"/>
      <c r="L552" s="763"/>
      <c r="M552" s="763" t="s">
        <v>215</v>
      </c>
      <c r="N552" s="763"/>
      <c r="O552" s="763"/>
      <c r="P552" s="763"/>
      <c r="Q552" s="763"/>
      <c r="R552" s="763"/>
      <c r="S552" s="763"/>
      <c r="T552" s="763"/>
      <c r="U552" s="763"/>
    </row>
    <row r="553" spans="1:21" ht="21" customHeight="1">
      <c r="A553" s="764" t="s">
        <v>729</v>
      </c>
      <c r="B553" s="764"/>
      <c r="C553" s="764"/>
      <c r="D553" s="764"/>
      <c r="E553" s="764"/>
      <c r="F553" s="764"/>
      <c r="G553" s="764"/>
      <c r="H553" s="764"/>
      <c r="I553" s="764"/>
      <c r="J553" s="764"/>
      <c r="K553" s="764"/>
      <c r="L553" s="764"/>
      <c r="M553" s="764" t="s">
        <v>729</v>
      </c>
      <c r="N553" s="764"/>
      <c r="O553" s="764"/>
      <c r="P553" s="764"/>
      <c r="Q553" s="764"/>
      <c r="R553" s="764"/>
      <c r="S553" s="764"/>
      <c r="T553" s="764"/>
      <c r="U553" s="764"/>
    </row>
    <row r="554" spans="1:21" ht="21" customHeight="1">
      <c r="A554" s="769" t="s">
        <v>216</v>
      </c>
      <c r="B554" s="769"/>
      <c r="C554" s="768" t="s">
        <v>218</v>
      </c>
      <c r="D554" s="768"/>
      <c r="E554" s="546" t="s">
        <v>221</v>
      </c>
      <c r="F554" s="768" t="s">
        <v>223</v>
      </c>
      <c r="G554" s="769"/>
      <c r="H554" s="546" t="s">
        <v>237</v>
      </c>
      <c r="I554" s="546" t="s">
        <v>238</v>
      </c>
      <c r="J554" s="765" t="s">
        <v>239</v>
      </c>
      <c r="K554" s="766"/>
      <c r="L554" s="767"/>
      <c r="M554" s="547" t="s">
        <v>240</v>
      </c>
      <c r="N554" s="765" t="s">
        <v>241</v>
      </c>
      <c r="O554" s="766"/>
      <c r="P554" s="767"/>
      <c r="Q554" s="768" t="s">
        <v>242</v>
      </c>
      <c r="R554" s="769"/>
      <c r="S554" s="546" t="s">
        <v>306</v>
      </c>
      <c r="T554" s="546" t="s">
        <v>243</v>
      </c>
      <c r="U554" s="770" t="s">
        <v>17</v>
      </c>
    </row>
    <row r="555" spans="1:21" ht="21" customHeight="1">
      <c r="A555" s="769" t="s">
        <v>217</v>
      </c>
      <c r="B555" s="769"/>
      <c r="C555" s="546" t="s">
        <v>219</v>
      </c>
      <c r="D555" s="546" t="s">
        <v>220</v>
      </c>
      <c r="E555" s="546" t="s">
        <v>312</v>
      </c>
      <c r="F555" s="546" t="s">
        <v>224</v>
      </c>
      <c r="G555" s="546" t="s">
        <v>225</v>
      </c>
      <c r="H555" s="546" t="s">
        <v>227</v>
      </c>
      <c r="I555" s="546" t="s">
        <v>228</v>
      </c>
      <c r="J555" s="546" t="s">
        <v>229</v>
      </c>
      <c r="K555" s="546" t="s">
        <v>230</v>
      </c>
      <c r="L555" s="546" t="s">
        <v>431</v>
      </c>
      <c r="M555" s="547" t="s">
        <v>231</v>
      </c>
      <c r="N555" s="546" t="s">
        <v>232</v>
      </c>
      <c r="O555" s="546" t="s">
        <v>233</v>
      </c>
      <c r="P555" s="546" t="s">
        <v>314</v>
      </c>
      <c r="Q555" s="546" t="s">
        <v>234</v>
      </c>
      <c r="R555" s="546" t="s">
        <v>235</v>
      </c>
      <c r="S555" s="546" t="s">
        <v>307</v>
      </c>
      <c r="T555" s="546" t="s">
        <v>236</v>
      </c>
      <c r="U555" s="770"/>
    </row>
    <row r="556" spans="1:21" ht="21" customHeight="1">
      <c r="A556" s="771" t="s">
        <v>290</v>
      </c>
      <c r="B556" s="772"/>
      <c r="C556" s="178"/>
      <c r="D556" s="178"/>
      <c r="E556" s="178"/>
      <c r="F556" s="178"/>
      <c r="G556" s="178"/>
      <c r="H556" s="178"/>
      <c r="I556" s="178"/>
      <c r="J556" s="178"/>
      <c r="K556" s="178"/>
      <c r="L556" s="178"/>
      <c r="M556" s="430"/>
      <c r="N556" s="178"/>
      <c r="O556" s="178"/>
      <c r="P556" s="178"/>
      <c r="Q556" s="178"/>
      <c r="R556" s="178"/>
      <c r="S556" s="178"/>
      <c r="T556" s="178"/>
      <c r="U556" s="178"/>
    </row>
    <row r="557" spans="1:21" ht="21" customHeight="1">
      <c r="A557" s="179">
        <v>110300</v>
      </c>
      <c r="B557" s="180" t="s">
        <v>244</v>
      </c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431"/>
      <c r="N557" s="91"/>
      <c r="O557" s="91"/>
      <c r="P557" s="91"/>
      <c r="Q557" s="91"/>
      <c r="R557" s="91"/>
      <c r="S557" s="91"/>
      <c r="T557" s="91">
        <f>7404+45</f>
        <v>7449</v>
      </c>
      <c r="U557" s="181">
        <f>SUM(C557:T557)</f>
        <v>7449</v>
      </c>
    </row>
    <row r="558" spans="1:21" ht="21" customHeight="1">
      <c r="A558" s="179">
        <v>110700</v>
      </c>
      <c r="B558" s="180" t="s">
        <v>127</v>
      </c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431"/>
      <c r="N558" s="91"/>
      <c r="O558" s="91"/>
      <c r="P558" s="91"/>
      <c r="Q558" s="91"/>
      <c r="R558" s="91"/>
      <c r="S558" s="91"/>
      <c r="T558" s="91">
        <v>0</v>
      </c>
      <c r="U558" s="181">
        <f aca="true" t="shared" si="155" ref="U558:U563">SUM(C558:T558)</f>
        <v>0</v>
      </c>
    </row>
    <row r="559" spans="1:21" ht="21" customHeight="1">
      <c r="A559" s="179">
        <v>110800</v>
      </c>
      <c r="B559" s="180" t="s">
        <v>133</v>
      </c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431"/>
      <c r="N559" s="91"/>
      <c r="O559" s="91"/>
      <c r="P559" s="91"/>
      <c r="Q559" s="91"/>
      <c r="R559" s="91"/>
      <c r="S559" s="91"/>
      <c r="T559" s="91">
        <v>0</v>
      </c>
      <c r="U559" s="181">
        <f t="shared" si="155"/>
        <v>0</v>
      </c>
    </row>
    <row r="560" spans="1:21" ht="21" customHeight="1">
      <c r="A560" s="179">
        <v>110900</v>
      </c>
      <c r="B560" s="180" t="s">
        <v>134</v>
      </c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431"/>
      <c r="N560" s="91"/>
      <c r="O560" s="91"/>
      <c r="P560" s="91"/>
      <c r="Q560" s="91"/>
      <c r="R560" s="91"/>
      <c r="S560" s="91"/>
      <c r="T560" s="91">
        <v>7000</v>
      </c>
      <c r="U560" s="181">
        <f t="shared" si="155"/>
        <v>7000</v>
      </c>
    </row>
    <row r="561" spans="1:21" ht="21" customHeight="1">
      <c r="A561" s="179">
        <v>111000</v>
      </c>
      <c r="B561" s="180" t="s">
        <v>135</v>
      </c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431"/>
      <c r="N561" s="91"/>
      <c r="O561" s="91"/>
      <c r="P561" s="91"/>
      <c r="Q561" s="91"/>
      <c r="R561" s="91"/>
      <c r="S561" s="91"/>
      <c r="T561" s="91">
        <v>0</v>
      </c>
      <c r="U561" s="181">
        <f t="shared" si="155"/>
        <v>0</v>
      </c>
    </row>
    <row r="562" spans="1:21" ht="21" customHeight="1">
      <c r="A562" s="179">
        <v>111100</v>
      </c>
      <c r="B562" s="180" t="s">
        <v>246</v>
      </c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431"/>
      <c r="N562" s="91"/>
      <c r="O562" s="91"/>
      <c r="P562" s="91"/>
      <c r="Q562" s="91"/>
      <c r="R562" s="91"/>
      <c r="S562" s="91"/>
      <c r="T562" s="91">
        <v>0</v>
      </c>
      <c r="U562" s="181">
        <f t="shared" si="155"/>
        <v>0</v>
      </c>
    </row>
    <row r="563" spans="1:21" ht="21" customHeight="1">
      <c r="A563" s="179">
        <v>111200</v>
      </c>
      <c r="B563" s="180" t="s">
        <v>528</v>
      </c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431"/>
      <c r="N563" s="91"/>
      <c r="O563" s="91"/>
      <c r="P563" s="91"/>
      <c r="Q563" s="91"/>
      <c r="R563" s="91"/>
      <c r="S563" s="91"/>
      <c r="T563" s="91">
        <v>0</v>
      </c>
      <c r="U563" s="181">
        <f t="shared" si="155"/>
        <v>0</v>
      </c>
    </row>
    <row r="564" spans="1:21" ht="21" customHeight="1">
      <c r="A564" s="182">
        <v>120100</v>
      </c>
      <c r="B564" s="183" t="s">
        <v>245</v>
      </c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432"/>
      <c r="N564" s="115"/>
      <c r="O564" s="115"/>
      <c r="P564" s="115"/>
      <c r="Q564" s="115"/>
      <c r="R564" s="115"/>
      <c r="S564" s="115"/>
      <c r="T564" s="115">
        <v>0</v>
      </c>
      <c r="U564" s="184">
        <f>SUM(C564:T564)</f>
        <v>0</v>
      </c>
    </row>
    <row r="565" spans="1:21" ht="21" customHeight="1">
      <c r="A565" s="756" t="s">
        <v>252</v>
      </c>
      <c r="B565" s="757"/>
      <c r="C565" s="181">
        <f>SUM(C557:C564)</f>
        <v>0</v>
      </c>
      <c r="D565" s="181">
        <f aca="true" t="shared" si="156" ref="D565:J565">SUM(D557:D564)</f>
        <v>0</v>
      </c>
      <c r="E565" s="181">
        <f t="shared" si="156"/>
        <v>0</v>
      </c>
      <c r="F565" s="181">
        <f t="shared" si="156"/>
        <v>0</v>
      </c>
      <c r="G565" s="181">
        <f t="shared" si="156"/>
        <v>0</v>
      </c>
      <c r="H565" s="181">
        <f t="shared" si="156"/>
        <v>0</v>
      </c>
      <c r="I565" s="181">
        <f t="shared" si="156"/>
        <v>0</v>
      </c>
      <c r="J565" s="181">
        <f t="shared" si="156"/>
        <v>0</v>
      </c>
      <c r="K565" s="181">
        <f>SUM(K557:K564)</f>
        <v>0</v>
      </c>
      <c r="L565" s="181">
        <f>SUM(L557:L564)</f>
        <v>0</v>
      </c>
      <c r="M565" s="433">
        <f>SUM(M557:M564)</f>
        <v>0</v>
      </c>
      <c r="N565" s="181">
        <f>SUM(N557:N564)</f>
        <v>0</v>
      </c>
      <c r="O565" s="181">
        <f>SUM(O557:O564)</f>
        <v>0</v>
      </c>
      <c r="P565" s="181"/>
      <c r="Q565" s="181">
        <f>SUM(Q557:Q564)</f>
        <v>0</v>
      </c>
      <c r="R565" s="181">
        <f>SUM(R557:R564)</f>
        <v>0</v>
      </c>
      <c r="S565" s="181">
        <f>SUM(S557:S564)</f>
        <v>0</v>
      </c>
      <c r="T565" s="181">
        <f>SUM(T557:T564)</f>
        <v>14449</v>
      </c>
      <c r="U565" s="181">
        <f>SUM(C565:T565)</f>
        <v>14449</v>
      </c>
    </row>
    <row r="566" spans="1:21" ht="21" customHeight="1">
      <c r="A566" s="758" t="s">
        <v>253</v>
      </c>
      <c r="B566" s="759"/>
      <c r="C566" s="185">
        <f>+C565+C455</f>
        <v>0</v>
      </c>
      <c r="D566" s="185">
        <f aca="true" t="shared" si="157" ref="D566:U566">+D565+D455</f>
        <v>0</v>
      </c>
      <c r="E566" s="185">
        <f t="shared" si="157"/>
        <v>0</v>
      </c>
      <c r="F566" s="185">
        <f t="shared" si="157"/>
        <v>0</v>
      </c>
      <c r="G566" s="185">
        <f t="shared" si="157"/>
        <v>0</v>
      </c>
      <c r="H566" s="185">
        <f t="shared" si="157"/>
        <v>0</v>
      </c>
      <c r="I566" s="185">
        <f t="shared" si="157"/>
        <v>0</v>
      </c>
      <c r="J566" s="185">
        <f t="shared" si="157"/>
        <v>0</v>
      </c>
      <c r="K566" s="185">
        <f t="shared" si="157"/>
        <v>0</v>
      </c>
      <c r="L566" s="185">
        <f t="shared" si="157"/>
        <v>0</v>
      </c>
      <c r="M566" s="185">
        <f t="shared" si="157"/>
        <v>0</v>
      </c>
      <c r="N566" s="185">
        <f t="shared" si="157"/>
        <v>0</v>
      </c>
      <c r="O566" s="185">
        <f t="shared" si="157"/>
        <v>0</v>
      </c>
      <c r="P566" s="185">
        <f t="shared" si="157"/>
        <v>0</v>
      </c>
      <c r="Q566" s="185">
        <f t="shared" si="157"/>
        <v>0</v>
      </c>
      <c r="R566" s="185">
        <f t="shared" si="157"/>
        <v>0</v>
      </c>
      <c r="S566" s="185">
        <f t="shared" si="157"/>
        <v>0</v>
      </c>
      <c r="T566" s="185">
        <f t="shared" si="157"/>
        <v>611163.61</v>
      </c>
      <c r="U566" s="185">
        <f t="shared" si="157"/>
        <v>611163.61</v>
      </c>
    </row>
    <row r="567" spans="1:21" ht="21" customHeight="1">
      <c r="A567" s="771" t="s">
        <v>291</v>
      </c>
      <c r="B567" s="772"/>
      <c r="C567" s="186"/>
      <c r="D567" s="186"/>
      <c r="E567" s="186"/>
      <c r="F567" s="186"/>
      <c r="G567" s="186"/>
      <c r="H567" s="186"/>
      <c r="I567" s="186"/>
      <c r="J567" s="186"/>
      <c r="K567" s="186"/>
      <c r="L567" s="186"/>
      <c r="M567" s="434"/>
      <c r="N567" s="186"/>
      <c r="O567" s="186"/>
      <c r="P567" s="186"/>
      <c r="Q567" s="186"/>
      <c r="R567" s="186"/>
      <c r="S567" s="186"/>
      <c r="T567" s="186"/>
      <c r="U567" s="187">
        <f aca="true" t="shared" si="158" ref="U567:U572">SUM(C567:T567)</f>
        <v>0</v>
      </c>
    </row>
    <row r="568" spans="1:21" ht="21" customHeight="1">
      <c r="A568" s="179">
        <v>210100</v>
      </c>
      <c r="B568" s="83" t="s">
        <v>247</v>
      </c>
      <c r="C568" s="91">
        <v>57960</v>
      </c>
      <c r="D568" s="91"/>
      <c r="E568" s="91"/>
      <c r="F568" s="91"/>
      <c r="G568" s="91"/>
      <c r="H568" s="91"/>
      <c r="I568" s="91"/>
      <c r="J568" s="91">
        <v>0</v>
      </c>
      <c r="K568" s="91"/>
      <c r="L568" s="91"/>
      <c r="M568" s="431"/>
      <c r="N568" s="91"/>
      <c r="O568" s="91"/>
      <c r="P568" s="91"/>
      <c r="Q568" s="91"/>
      <c r="R568" s="91"/>
      <c r="S568" s="91"/>
      <c r="T568" s="91"/>
      <c r="U568" s="181">
        <f t="shared" si="158"/>
        <v>57960</v>
      </c>
    </row>
    <row r="569" spans="1:21" ht="21" customHeight="1">
      <c r="A569" s="179">
        <v>210200</v>
      </c>
      <c r="B569" s="83" t="s">
        <v>251</v>
      </c>
      <c r="C569" s="91">
        <v>10000</v>
      </c>
      <c r="D569" s="91"/>
      <c r="E569" s="91"/>
      <c r="F569" s="91"/>
      <c r="G569" s="91"/>
      <c r="H569" s="91"/>
      <c r="I569" s="91"/>
      <c r="J569" s="91"/>
      <c r="K569" s="91"/>
      <c r="L569" s="91"/>
      <c r="M569" s="431"/>
      <c r="N569" s="91"/>
      <c r="O569" s="91"/>
      <c r="P569" s="91"/>
      <c r="Q569" s="91"/>
      <c r="R569" s="91"/>
      <c r="S569" s="91"/>
      <c r="T569" s="91"/>
      <c r="U569" s="181">
        <f t="shared" si="158"/>
        <v>10000</v>
      </c>
    </row>
    <row r="570" spans="1:21" ht="21" customHeight="1">
      <c r="A570" s="179">
        <v>210300</v>
      </c>
      <c r="B570" s="83" t="s">
        <v>248</v>
      </c>
      <c r="C570" s="91">
        <v>10000</v>
      </c>
      <c r="D570" s="91"/>
      <c r="E570" s="91"/>
      <c r="F570" s="91"/>
      <c r="G570" s="91"/>
      <c r="H570" s="91"/>
      <c r="I570" s="91"/>
      <c r="J570" s="91"/>
      <c r="K570" s="91"/>
      <c r="L570" s="91"/>
      <c r="M570" s="431"/>
      <c r="N570" s="91"/>
      <c r="O570" s="91"/>
      <c r="P570" s="91"/>
      <c r="Q570" s="91"/>
      <c r="R570" s="91"/>
      <c r="S570" s="91"/>
      <c r="T570" s="91"/>
      <c r="U570" s="181">
        <f t="shared" si="158"/>
        <v>10000</v>
      </c>
    </row>
    <row r="571" spans="1:21" ht="21" customHeight="1">
      <c r="A571" s="179">
        <v>210400</v>
      </c>
      <c r="B571" s="83" t="s">
        <v>249</v>
      </c>
      <c r="C571" s="91">
        <v>16560</v>
      </c>
      <c r="D571" s="91"/>
      <c r="E571" s="91"/>
      <c r="F571" s="91"/>
      <c r="G571" s="91"/>
      <c r="H571" s="91"/>
      <c r="I571" s="91"/>
      <c r="J571" s="91"/>
      <c r="K571" s="91"/>
      <c r="L571" s="91"/>
      <c r="M571" s="431"/>
      <c r="N571" s="91"/>
      <c r="O571" s="91"/>
      <c r="P571" s="91"/>
      <c r="Q571" s="91"/>
      <c r="R571" s="91"/>
      <c r="S571" s="91"/>
      <c r="T571" s="91"/>
      <c r="U571" s="181">
        <f t="shared" si="158"/>
        <v>16560</v>
      </c>
    </row>
    <row r="572" spans="1:21" ht="21" customHeight="1">
      <c r="A572" s="182">
        <v>210600</v>
      </c>
      <c r="B572" s="84" t="s">
        <v>250</v>
      </c>
      <c r="C572" s="91">
        <v>124200</v>
      </c>
      <c r="D572" s="115"/>
      <c r="E572" s="115"/>
      <c r="F572" s="115"/>
      <c r="G572" s="115"/>
      <c r="H572" s="115"/>
      <c r="I572" s="115"/>
      <c r="J572" s="115"/>
      <c r="K572" s="115"/>
      <c r="L572" s="115"/>
      <c r="M572" s="432"/>
      <c r="N572" s="115"/>
      <c r="O572" s="115"/>
      <c r="P572" s="115"/>
      <c r="Q572" s="115"/>
      <c r="R572" s="115"/>
      <c r="S572" s="115"/>
      <c r="T572" s="115"/>
      <c r="U572" s="184">
        <f t="shared" si="158"/>
        <v>124200</v>
      </c>
    </row>
    <row r="573" spans="1:21" ht="21" customHeight="1">
      <c r="A573" s="756" t="s">
        <v>252</v>
      </c>
      <c r="B573" s="757"/>
      <c r="C573" s="181">
        <f>SUM(C568:C572)</f>
        <v>218720</v>
      </c>
      <c r="D573" s="181">
        <f>SUM(D567:D572)</f>
        <v>0</v>
      </c>
      <c r="E573" s="181">
        <f aca="true" t="shared" si="159" ref="E573:J573">SUM(E567:E572)</f>
        <v>0</v>
      </c>
      <c r="F573" s="181">
        <f t="shared" si="159"/>
        <v>0</v>
      </c>
      <c r="G573" s="181">
        <f t="shared" si="159"/>
        <v>0</v>
      </c>
      <c r="H573" s="181">
        <f t="shared" si="159"/>
        <v>0</v>
      </c>
      <c r="I573" s="181">
        <f t="shared" si="159"/>
        <v>0</v>
      </c>
      <c r="J573" s="181">
        <f t="shared" si="159"/>
        <v>0</v>
      </c>
      <c r="K573" s="181">
        <f>SUM(K567:K572)</f>
        <v>0</v>
      </c>
      <c r="L573" s="181">
        <f>SUM(L567:L572)</f>
        <v>0</v>
      </c>
      <c r="M573" s="433">
        <f>SUM(M567:M572)</f>
        <v>0</v>
      </c>
      <c r="N573" s="181">
        <f>SUM(N567:N572)</f>
        <v>0</v>
      </c>
      <c r="O573" s="181">
        <f>SUM(O567:O572)</f>
        <v>0</v>
      </c>
      <c r="P573" s="181"/>
      <c r="Q573" s="181">
        <f>SUM(Q567:Q572)</f>
        <v>0</v>
      </c>
      <c r="R573" s="181">
        <f>SUM(R567:R572)</f>
        <v>0</v>
      </c>
      <c r="S573" s="181">
        <f>SUM(S567:S572)</f>
        <v>0</v>
      </c>
      <c r="T573" s="181">
        <f>SUM(T567:T572)</f>
        <v>0</v>
      </c>
      <c r="U573" s="181">
        <f>SUM(C573:T573)</f>
        <v>218720</v>
      </c>
    </row>
    <row r="574" spans="1:21" ht="21" customHeight="1">
      <c r="A574" s="758" t="s">
        <v>253</v>
      </c>
      <c r="B574" s="759"/>
      <c r="C574" s="181">
        <f>+C573+C463</f>
        <v>1302338</v>
      </c>
      <c r="D574" s="181">
        <f aca="true" t="shared" si="160" ref="D574:U574">+D573+D463</f>
        <v>0</v>
      </c>
      <c r="E574" s="181">
        <f t="shared" si="160"/>
        <v>0</v>
      </c>
      <c r="F574" s="181">
        <f t="shared" si="160"/>
        <v>0</v>
      </c>
      <c r="G574" s="181">
        <f t="shared" si="160"/>
        <v>0</v>
      </c>
      <c r="H574" s="181">
        <f t="shared" si="160"/>
        <v>0</v>
      </c>
      <c r="I574" s="181">
        <f t="shared" si="160"/>
        <v>0</v>
      </c>
      <c r="J574" s="181">
        <f t="shared" si="160"/>
        <v>0</v>
      </c>
      <c r="K574" s="181">
        <f t="shared" si="160"/>
        <v>0</v>
      </c>
      <c r="L574" s="181">
        <f t="shared" si="160"/>
        <v>0</v>
      </c>
      <c r="M574" s="181">
        <f t="shared" si="160"/>
        <v>0</v>
      </c>
      <c r="N574" s="181">
        <f t="shared" si="160"/>
        <v>0</v>
      </c>
      <c r="O574" s="181">
        <f t="shared" si="160"/>
        <v>0</v>
      </c>
      <c r="P574" s="181">
        <f t="shared" si="160"/>
        <v>0</v>
      </c>
      <c r="Q574" s="181">
        <f t="shared" si="160"/>
        <v>0</v>
      </c>
      <c r="R574" s="181">
        <f t="shared" si="160"/>
        <v>0</v>
      </c>
      <c r="S574" s="181">
        <f t="shared" si="160"/>
        <v>0</v>
      </c>
      <c r="T574" s="181">
        <f t="shared" si="160"/>
        <v>0</v>
      </c>
      <c r="U574" s="181">
        <f t="shared" si="160"/>
        <v>1302338</v>
      </c>
    </row>
    <row r="575" spans="1:21" ht="21" customHeight="1">
      <c r="A575" s="771" t="s">
        <v>292</v>
      </c>
      <c r="B575" s="772"/>
      <c r="C575" s="186"/>
      <c r="D575" s="186"/>
      <c r="E575" s="186"/>
      <c r="F575" s="186"/>
      <c r="G575" s="186"/>
      <c r="H575" s="186"/>
      <c r="I575" s="186"/>
      <c r="J575" s="186"/>
      <c r="K575" s="186"/>
      <c r="L575" s="186"/>
      <c r="M575" s="434"/>
      <c r="N575" s="186"/>
      <c r="O575" s="186"/>
      <c r="P575" s="186"/>
      <c r="Q575" s="186"/>
      <c r="R575" s="186"/>
      <c r="S575" s="186"/>
      <c r="T575" s="186"/>
      <c r="U575" s="187">
        <f aca="true" t="shared" si="161" ref="U575:U580">SUM(C575:T575)</f>
        <v>0</v>
      </c>
    </row>
    <row r="576" spans="1:21" ht="21" customHeight="1">
      <c r="A576" s="179">
        <v>220100</v>
      </c>
      <c r="B576" s="83" t="s">
        <v>254</v>
      </c>
      <c r="C576" s="91">
        <f>183080+8194</f>
        <v>191274</v>
      </c>
      <c r="D576" s="91">
        <v>48280</v>
      </c>
      <c r="E576" s="91"/>
      <c r="F576" s="91"/>
      <c r="G576" s="91"/>
      <c r="H576" s="91"/>
      <c r="I576" s="91"/>
      <c r="J576" s="91">
        <v>37320</v>
      </c>
      <c r="K576" s="91"/>
      <c r="L576" s="91"/>
      <c r="M576" s="431"/>
      <c r="N576" s="91"/>
      <c r="O576" s="91"/>
      <c r="P576" s="91"/>
      <c r="Q576" s="91"/>
      <c r="R576" s="91"/>
      <c r="S576" s="91"/>
      <c r="T576" s="91"/>
      <c r="U576" s="181">
        <f t="shared" si="161"/>
        <v>276874</v>
      </c>
    </row>
    <row r="577" spans="1:21" ht="21" customHeight="1">
      <c r="A577" s="179">
        <v>220200</v>
      </c>
      <c r="B577" s="83" t="s">
        <v>255</v>
      </c>
      <c r="C577" s="91">
        <v>4650</v>
      </c>
      <c r="D577" s="91">
        <v>5255</v>
      </c>
      <c r="E577" s="91"/>
      <c r="F577" s="91"/>
      <c r="G577" s="91"/>
      <c r="H577" s="91"/>
      <c r="I577" s="91"/>
      <c r="J577" s="91">
        <v>720</v>
      </c>
      <c r="K577" s="91"/>
      <c r="L577" s="91"/>
      <c r="M577" s="431"/>
      <c r="N577" s="91"/>
      <c r="O577" s="91"/>
      <c r="P577" s="91"/>
      <c r="Q577" s="91"/>
      <c r="R577" s="91"/>
      <c r="S577" s="91"/>
      <c r="T577" s="91"/>
      <c r="U577" s="181">
        <f t="shared" si="161"/>
        <v>10625</v>
      </c>
    </row>
    <row r="578" spans="1:21" ht="21" customHeight="1">
      <c r="A578" s="179">
        <v>220300</v>
      </c>
      <c r="B578" s="83" t="s">
        <v>256</v>
      </c>
      <c r="C578" s="91">
        <v>10500</v>
      </c>
      <c r="D578" s="91">
        <v>3500</v>
      </c>
      <c r="E578" s="91"/>
      <c r="F578" s="91"/>
      <c r="G578" s="91"/>
      <c r="H578" s="91"/>
      <c r="I578" s="91"/>
      <c r="J578" s="91"/>
      <c r="K578" s="91"/>
      <c r="L578" s="91"/>
      <c r="M578" s="431"/>
      <c r="N578" s="91"/>
      <c r="O578" s="91"/>
      <c r="P578" s="91"/>
      <c r="Q578" s="91"/>
      <c r="R578" s="91"/>
      <c r="S578" s="91"/>
      <c r="T578" s="91"/>
      <c r="U578" s="181">
        <f t="shared" si="161"/>
        <v>14000</v>
      </c>
    </row>
    <row r="579" spans="1:21" ht="21" customHeight="1">
      <c r="A579" s="179">
        <v>220400</v>
      </c>
      <c r="B579" s="83" t="s">
        <v>3</v>
      </c>
      <c r="C579" s="91">
        <v>0</v>
      </c>
      <c r="D579" s="91">
        <v>23730</v>
      </c>
      <c r="E579" s="91"/>
      <c r="F579" s="91"/>
      <c r="G579" s="91"/>
      <c r="H579" s="91"/>
      <c r="I579" s="91"/>
      <c r="J579" s="91"/>
      <c r="K579" s="91"/>
      <c r="L579" s="91"/>
      <c r="M579" s="431"/>
      <c r="N579" s="91"/>
      <c r="O579" s="91"/>
      <c r="P579" s="91"/>
      <c r="Q579" s="91"/>
      <c r="R579" s="91"/>
      <c r="S579" s="91"/>
      <c r="T579" s="91"/>
      <c r="U579" s="181">
        <f t="shared" si="161"/>
        <v>23730</v>
      </c>
    </row>
    <row r="580" spans="1:21" ht="21" customHeight="1">
      <c r="A580" s="179">
        <v>220500</v>
      </c>
      <c r="B580" s="83" t="s">
        <v>257</v>
      </c>
      <c r="C580" s="91">
        <v>0</v>
      </c>
      <c r="D580" s="91">
        <v>3555</v>
      </c>
      <c r="E580" s="91"/>
      <c r="F580" s="91"/>
      <c r="G580" s="91"/>
      <c r="H580" s="91"/>
      <c r="I580" s="91"/>
      <c r="J580" s="91"/>
      <c r="K580" s="91"/>
      <c r="L580" s="91"/>
      <c r="M580" s="431"/>
      <c r="N580" s="91"/>
      <c r="O580" s="91"/>
      <c r="P580" s="91"/>
      <c r="Q580" s="91"/>
      <c r="R580" s="91"/>
      <c r="S580" s="91"/>
      <c r="T580" s="91"/>
      <c r="U580" s="181">
        <f t="shared" si="161"/>
        <v>3555</v>
      </c>
    </row>
    <row r="581" spans="1:21" ht="21" customHeight="1">
      <c r="A581" s="769" t="s">
        <v>216</v>
      </c>
      <c r="B581" s="769"/>
      <c r="C581" s="768" t="s">
        <v>218</v>
      </c>
      <c r="D581" s="768"/>
      <c r="E581" s="546" t="s">
        <v>221</v>
      </c>
      <c r="F581" s="768" t="s">
        <v>223</v>
      </c>
      <c r="G581" s="769"/>
      <c r="H581" s="546" t="s">
        <v>237</v>
      </c>
      <c r="I581" s="546" t="s">
        <v>238</v>
      </c>
      <c r="J581" s="765" t="s">
        <v>239</v>
      </c>
      <c r="K581" s="766"/>
      <c r="L581" s="767"/>
      <c r="M581" s="547" t="s">
        <v>240</v>
      </c>
      <c r="N581" s="765" t="s">
        <v>241</v>
      </c>
      <c r="O581" s="766"/>
      <c r="P581" s="767"/>
      <c r="Q581" s="768" t="s">
        <v>242</v>
      </c>
      <c r="R581" s="769"/>
      <c r="S581" s="546" t="s">
        <v>306</v>
      </c>
      <c r="T581" s="546" t="s">
        <v>243</v>
      </c>
      <c r="U581" s="770" t="s">
        <v>17</v>
      </c>
    </row>
    <row r="582" spans="1:21" ht="21" customHeight="1">
      <c r="A582" s="769" t="s">
        <v>217</v>
      </c>
      <c r="B582" s="769"/>
      <c r="C582" s="546" t="s">
        <v>219</v>
      </c>
      <c r="D582" s="546" t="s">
        <v>220</v>
      </c>
      <c r="E582" s="546" t="s">
        <v>312</v>
      </c>
      <c r="F582" s="546" t="s">
        <v>224</v>
      </c>
      <c r="G582" s="546" t="s">
        <v>225</v>
      </c>
      <c r="H582" s="546" t="s">
        <v>227</v>
      </c>
      <c r="I582" s="546" t="s">
        <v>228</v>
      </c>
      <c r="J582" s="546" t="s">
        <v>229</v>
      </c>
      <c r="K582" s="546" t="s">
        <v>230</v>
      </c>
      <c r="L582" s="546" t="s">
        <v>431</v>
      </c>
      <c r="M582" s="547" t="s">
        <v>231</v>
      </c>
      <c r="N582" s="546" t="s">
        <v>232</v>
      </c>
      <c r="O582" s="546" t="s">
        <v>233</v>
      </c>
      <c r="P582" s="546" t="s">
        <v>314</v>
      </c>
      <c r="Q582" s="546" t="s">
        <v>234</v>
      </c>
      <c r="R582" s="546" t="s">
        <v>235</v>
      </c>
      <c r="S582" s="546" t="s">
        <v>307</v>
      </c>
      <c r="T582" s="546" t="s">
        <v>236</v>
      </c>
      <c r="U582" s="770"/>
    </row>
    <row r="583" spans="1:21" ht="21" customHeight="1">
      <c r="A583" s="179">
        <v>220600</v>
      </c>
      <c r="B583" s="83" t="s">
        <v>258</v>
      </c>
      <c r="C583" s="91">
        <v>79510</v>
      </c>
      <c r="D583" s="91">
        <v>9140</v>
      </c>
      <c r="E583" s="91"/>
      <c r="F583" s="91"/>
      <c r="G583" s="91"/>
      <c r="H583" s="91"/>
      <c r="I583" s="91"/>
      <c r="J583" s="91">
        <v>10319</v>
      </c>
      <c r="K583" s="91"/>
      <c r="L583" s="91"/>
      <c r="M583" s="431"/>
      <c r="N583" s="91"/>
      <c r="O583" s="91"/>
      <c r="P583" s="91"/>
      <c r="Q583" s="91"/>
      <c r="R583" s="91"/>
      <c r="S583" s="91"/>
      <c r="T583" s="91"/>
      <c r="U583" s="181">
        <f>SUM(C583:T583)</f>
        <v>98969</v>
      </c>
    </row>
    <row r="584" spans="1:21" ht="21" customHeight="1">
      <c r="A584" s="182">
        <v>220700</v>
      </c>
      <c r="B584" s="84" t="s">
        <v>259</v>
      </c>
      <c r="C584" s="91">
        <v>45327</v>
      </c>
      <c r="D584" s="115">
        <v>5860</v>
      </c>
      <c r="E584" s="115"/>
      <c r="F584" s="115">
        <v>900</v>
      </c>
      <c r="G584" s="115"/>
      <c r="H584" s="115"/>
      <c r="I584" s="115"/>
      <c r="J584" s="91">
        <v>5067</v>
      </c>
      <c r="K584" s="115"/>
      <c r="L584" s="115"/>
      <c r="M584" s="432"/>
      <c r="N584" s="115"/>
      <c r="O584" s="115"/>
      <c r="P584" s="115"/>
      <c r="Q584" s="115"/>
      <c r="R584" s="115"/>
      <c r="S584" s="115"/>
      <c r="T584" s="115"/>
      <c r="U584" s="184">
        <f>SUM(C584:T584)</f>
        <v>57154</v>
      </c>
    </row>
    <row r="585" spans="1:22" ht="21" customHeight="1">
      <c r="A585" s="756" t="s">
        <v>252</v>
      </c>
      <c r="B585" s="757"/>
      <c r="C585" s="181">
        <f>SUM(C575:C584)</f>
        <v>331261</v>
      </c>
      <c r="D585" s="181">
        <f>SUM(D575:D584)</f>
        <v>99320</v>
      </c>
      <c r="E585" s="181">
        <f>SUM(E575:E584)</f>
        <v>0</v>
      </c>
      <c r="F585" s="181">
        <f>SUM(F575:F584)</f>
        <v>900</v>
      </c>
      <c r="G585" s="181">
        <f>SUM(G575:G584)</f>
        <v>0</v>
      </c>
      <c r="H585" s="181">
        <f>SUM(H575:H584)</f>
        <v>0</v>
      </c>
      <c r="I585" s="181">
        <f>SUM(I575:I584)</f>
        <v>0</v>
      </c>
      <c r="J585" s="181">
        <f>SUM(J575:J584)</f>
        <v>53426</v>
      </c>
      <c r="K585" s="181">
        <f>SUM(K575:K584)</f>
        <v>0</v>
      </c>
      <c r="L585" s="181">
        <f>SUM(L575:L584)</f>
        <v>0</v>
      </c>
      <c r="M585" s="433">
        <f>SUM(M575:M584)</f>
        <v>0</v>
      </c>
      <c r="N585" s="181">
        <f>SUM(N575:N584)</f>
        <v>0</v>
      </c>
      <c r="O585" s="181">
        <f>SUM(O575:O584)</f>
        <v>0</v>
      </c>
      <c r="P585" s="181"/>
      <c r="Q585" s="181">
        <f>SUM(Q575:Q584)</f>
        <v>0</v>
      </c>
      <c r="R585" s="181">
        <f>SUM(R575:R584)</f>
        <v>0</v>
      </c>
      <c r="S585" s="181">
        <f>SUM(S575:S584)</f>
        <v>0</v>
      </c>
      <c r="T585" s="181">
        <f>SUM(T575:T584)</f>
        <v>0</v>
      </c>
      <c r="U585" s="181">
        <f>SUM(C585:T585)</f>
        <v>484907</v>
      </c>
      <c r="V585" s="177">
        <f>301499+27285+156123</f>
        <v>484907</v>
      </c>
    </row>
    <row r="586" spans="1:21" ht="21" customHeight="1">
      <c r="A586" s="758" t="s">
        <v>253</v>
      </c>
      <c r="B586" s="759"/>
      <c r="C586" s="185">
        <f>+C585+C475</f>
        <v>2046563.25</v>
      </c>
      <c r="D586" s="185">
        <f aca="true" t="shared" si="162" ref="D586:U586">+D585+D475</f>
        <v>666366.5800000001</v>
      </c>
      <c r="E586" s="185">
        <f t="shared" si="162"/>
        <v>0</v>
      </c>
      <c r="F586" s="185">
        <f t="shared" si="162"/>
        <v>5400</v>
      </c>
      <c r="G586" s="185">
        <f t="shared" si="162"/>
        <v>0</v>
      </c>
      <c r="H586" s="185">
        <f t="shared" si="162"/>
        <v>0</v>
      </c>
      <c r="I586" s="185">
        <f t="shared" si="162"/>
        <v>0</v>
      </c>
      <c r="J586" s="185">
        <f t="shared" si="162"/>
        <v>422485</v>
      </c>
      <c r="K586" s="185">
        <f t="shared" si="162"/>
        <v>0</v>
      </c>
      <c r="L586" s="185">
        <f t="shared" si="162"/>
        <v>0</v>
      </c>
      <c r="M586" s="185">
        <f t="shared" si="162"/>
        <v>0</v>
      </c>
      <c r="N586" s="185">
        <f t="shared" si="162"/>
        <v>0</v>
      </c>
      <c r="O586" s="185">
        <f t="shared" si="162"/>
        <v>0</v>
      </c>
      <c r="P586" s="185">
        <f t="shared" si="162"/>
        <v>0</v>
      </c>
      <c r="Q586" s="185">
        <f t="shared" si="162"/>
        <v>0</v>
      </c>
      <c r="R586" s="185">
        <f t="shared" si="162"/>
        <v>0</v>
      </c>
      <c r="S586" s="185">
        <f t="shared" si="162"/>
        <v>0</v>
      </c>
      <c r="T586" s="185">
        <f t="shared" si="162"/>
        <v>0</v>
      </c>
      <c r="U586" s="185">
        <f t="shared" si="162"/>
        <v>3140814.83</v>
      </c>
    </row>
    <row r="587" spans="1:21" ht="21" customHeight="1">
      <c r="A587" s="771" t="s">
        <v>293</v>
      </c>
      <c r="B587" s="772"/>
      <c r="C587" s="186"/>
      <c r="D587" s="186"/>
      <c r="E587" s="186"/>
      <c r="F587" s="186"/>
      <c r="G587" s="186"/>
      <c r="H587" s="186"/>
      <c r="I587" s="186"/>
      <c r="J587" s="186"/>
      <c r="K587" s="186"/>
      <c r="L587" s="186"/>
      <c r="M587" s="434"/>
      <c r="N587" s="186"/>
      <c r="O587" s="186"/>
      <c r="P587" s="186"/>
      <c r="Q587" s="186"/>
      <c r="R587" s="186"/>
      <c r="S587" s="186"/>
      <c r="T587" s="186"/>
      <c r="U587" s="187">
        <f aca="true" t="shared" si="163" ref="U587:U593">SUM(C587:T587)</f>
        <v>0</v>
      </c>
    </row>
    <row r="588" spans="1:21" ht="21" customHeight="1">
      <c r="A588" s="179">
        <v>310100</v>
      </c>
      <c r="B588" s="83" t="s">
        <v>260</v>
      </c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431"/>
      <c r="N588" s="91"/>
      <c r="O588" s="91"/>
      <c r="P588" s="91"/>
      <c r="Q588" s="91"/>
      <c r="R588" s="91"/>
      <c r="S588" s="91"/>
      <c r="T588" s="91"/>
      <c r="U588" s="181">
        <f t="shared" si="163"/>
        <v>0</v>
      </c>
    </row>
    <row r="589" spans="1:21" ht="21" customHeight="1">
      <c r="A589" s="179">
        <v>310200</v>
      </c>
      <c r="B589" s="83" t="s">
        <v>261</v>
      </c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431"/>
      <c r="N589" s="91"/>
      <c r="O589" s="91"/>
      <c r="P589" s="91"/>
      <c r="Q589" s="91"/>
      <c r="R589" s="91"/>
      <c r="S589" s="91"/>
      <c r="T589" s="91"/>
      <c r="U589" s="181">
        <f t="shared" si="163"/>
        <v>0</v>
      </c>
    </row>
    <row r="590" spans="1:21" ht="21" customHeight="1">
      <c r="A590" s="179">
        <v>310300</v>
      </c>
      <c r="B590" s="83" t="s">
        <v>262</v>
      </c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431"/>
      <c r="N590" s="91"/>
      <c r="O590" s="91"/>
      <c r="P590" s="91"/>
      <c r="Q590" s="91"/>
      <c r="R590" s="91"/>
      <c r="S590" s="91"/>
      <c r="T590" s="91"/>
      <c r="U590" s="181">
        <f t="shared" si="163"/>
        <v>0</v>
      </c>
    </row>
    <row r="591" spans="1:21" ht="21" customHeight="1">
      <c r="A591" s="179">
        <v>310400</v>
      </c>
      <c r="B591" s="83" t="s">
        <v>263</v>
      </c>
      <c r="C591" s="91">
        <v>16500</v>
      </c>
      <c r="D591" s="91">
        <v>3900</v>
      </c>
      <c r="E591" s="91"/>
      <c r="F591" s="91">
        <v>0</v>
      </c>
      <c r="G591" s="91"/>
      <c r="H591" s="91"/>
      <c r="I591" s="91"/>
      <c r="J591" s="91">
        <v>3900</v>
      </c>
      <c r="K591" s="91"/>
      <c r="L591" s="91"/>
      <c r="M591" s="431"/>
      <c r="N591" s="91"/>
      <c r="O591" s="91"/>
      <c r="P591" s="91"/>
      <c r="Q591" s="91"/>
      <c r="R591" s="91"/>
      <c r="S591" s="91"/>
      <c r="T591" s="91"/>
      <c r="U591" s="181">
        <f t="shared" si="163"/>
        <v>24300</v>
      </c>
    </row>
    <row r="592" spans="1:21" ht="21" customHeight="1">
      <c r="A592" s="179">
        <v>310500</v>
      </c>
      <c r="B592" s="83" t="s">
        <v>264</v>
      </c>
      <c r="C592" s="91"/>
      <c r="D592" s="91"/>
      <c r="E592" s="91"/>
      <c r="F592" s="91"/>
      <c r="G592" s="91"/>
      <c r="H592" s="91"/>
      <c r="I592" s="91"/>
      <c r="J592" s="91">
        <v>3300</v>
      </c>
      <c r="K592" s="91"/>
      <c r="L592" s="91"/>
      <c r="M592" s="431"/>
      <c r="N592" s="91"/>
      <c r="O592" s="91"/>
      <c r="P592" s="91"/>
      <c r="Q592" s="91"/>
      <c r="R592" s="91"/>
      <c r="S592" s="91"/>
      <c r="T592" s="91"/>
      <c r="U592" s="181">
        <f t="shared" si="163"/>
        <v>3300</v>
      </c>
    </row>
    <row r="593" spans="1:21" ht="21" customHeight="1">
      <c r="A593" s="182">
        <v>310600</v>
      </c>
      <c r="B593" s="84" t="s">
        <v>265</v>
      </c>
      <c r="C593" s="91"/>
      <c r="D593" s="91"/>
      <c r="E593" s="115"/>
      <c r="F593" s="115"/>
      <c r="G593" s="115"/>
      <c r="H593" s="115"/>
      <c r="I593" s="115"/>
      <c r="J593" s="115"/>
      <c r="K593" s="115"/>
      <c r="L593" s="115"/>
      <c r="M593" s="432"/>
      <c r="N593" s="115"/>
      <c r="O593" s="115"/>
      <c r="P593" s="115"/>
      <c r="Q593" s="115"/>
      <c r="R593" s="115"/>
      <c r="S593" s="115"/>
      <c r="T593" s="115"/>
      <c r="U593" s="184">
        <f t="shared" si="163"/>
        <v>0</v>
      </c>
    </row>
    <row r="594" spans="1:21" ht="21" customHeight="1">
      <c r="A594" s="756" t="s">
        <v>252</v>
      </c>
      <c r="B594" s="757"/>
      <c r="C594" s="181">
        <f>SUM(C588:C593)</f>
        <v>16500</v>
      </c>
      <c r="D594" s="181">
        <f aca="true" t="shared" si="164" ref="D594:T594">SUM(D588:D593)</f>
        <v>3900</v>
      </c>
      <c r="E594" s="181">
        <f t="shared" si="164"/>
        <v>0</v>
      </c>
      <c r="F594" s="181">
        <f t="shared" si="164"/>
        <v>0</v>
      </c>
      <c r="G594" s="181">
        <f t="shared" si="164"/>
        <v>0</v>
      </c>
      <c r="H594" s="181">
        <f t="shared" si="164"/>
        <v>0</v>
      </c>
      <c r="I594" s="181">
        <f t="shared" si="164"/>
        <v>0</v>
      </c>
      <c r="J594" s="181">
        <f t="shared" si="164"/>
        <v>7200</v>
      </c>
      <c r="K594" s="181">
        <f t="shared" si="164"/>
        <v>0</v>
      </c>
      <c r="L594" s="181">
        <f t="shared" si="164"/>
        <v>0</v>
      </c>
      <c r="M594" s="181">
        <f t="shared" si="164"/>
        <v>0</v>
      </c>
      <c r="N594" s="181">
        <f t="shared" si="164"/>
        <v>0</v>
      </c>
      <c r="O594" s="181">
        <f t="shared" si="164"/>
        <v>0</v>
      </c>
      <c r="P594" s="181">
        <f t="shared" si="164"/>
        <v>0</v>
      </c>
      <c r="Q594" s="181">
        <f t="shared" si="164"/>
        <v>0</v>
      </c>
      <c r="R594" s="181">
        <f t="shared" si="164"/>
        <v>0</v>
      </c>
      <c r="S594" s="181">
        <f t="shared" si="164"/>
        <v>0</v>
      </c>
      <c r="T594" s="181">
        <f t="shared" si="164"/>
        <v>0</v>
      </c>
      <c r="U594" s="181">
        <f>SUM(C594:T594)</f>
        <v>27600</v>
      </c>
    </row>
    <row r="595" spans="1:21" ht="21" customHeight="1">
      <c r="A595" s="758" t="s">
        <v>253</v>
      </c>
      <c r="B595" s="759"/>
      <c r="C595" s="185">
        <f>+C594+C484</f>
        <v>117560</v>
      </c>
      <c r="D595" s="185">
        <f aca="true" t="shared" si="165" ref="D595:U595">+D594+D484</f>
        <v>36715</v>
      </c>
      <c r="E595" s="185">
        <f t="shared" si="165"/>
        <v>19000</v>
      </c>
      <c r="F595" s="185">
        <f t="shared" si="165"/>
        <v>0</v>
      </c>
      <c r="G595" s="185">
        <f t="shared" si="165"/>
        <v>0</v>
      </c>
      <c r="H595" s="185">
        <f t="shared" si="165"/>
        <v>0</v>
      </c>
      <c r="I595" s="185">
        <f t="shared" si="165"/>
        <v>0</v>
      </c>
      <c r="J595" s="185">
        <f t="shared" si="165"/>
        <v>13600</v>
      </c>
      <c r="K595" s="185">
        <f t="shared" si="165"/>
        <v>0</v>
      </c>
      <c r="L595" s="185">
        <f t="shared" si="165"/>
        <v>0</v>
      </c>
      <c r="M595" s="185">
        <f t="shared" si="165"/>
        <v>0</v>
      </c>
      <c r="N595" s="185">
        <f t="shared" si="165"/>
        <v>0</v>
      </c>
      <c r="O595" s="185">
        <f t="shared" si="165"/>
        <v>0</v>
      </c>
      <c r="P595" s="185">
        <f t="shared" si="165"/>
        <v>0</v>
      </c>
      <c r="Q595" s="185">
        <f t="shared" si="165"/>
        <v>0</v>
      </c>
      <c r="R595" s="185">
        <f t="shared" si="165"/>
        <v>0</v>
      </c>
      <c r="S595" s="185">
        <f t="shared" si="165"/>
        <v>0</v>
      </c>
      <c r="T595" s="185">
        <f t="shared" si="165"/>
        <v>0</v>
      </c>
      <c r="U595" s="185">
        <f t="shared" si="165"/>
        <v>186875</v>
      </c>
    </row>
    <row r="596" spans="1:21" ht="21" customHeight="1">
      <c r="A596" s="771" t="s">
        <v>294</v>
      </c>
      <c r="B596" s="772"/>
      <c r="C596" s="186"/>
      <c r="D596" s="186"/>
      <c r="E596" s="186"/>
      <c r="F596" s="186"/>
      <c r="G596" s="186"/>
      <c r="H596" s="186"/>
      <c r="I596" s="186"/>
      <c r="J596" s="186"/>
      <c r="K596" s="186"/>
      <c r="L596" s="186"/>
      <c r="M596" s="434"/>
      <c r="N596" s="186"/>
      <c r="O596" s="186"/>
      <c r="P596" s="186"/>
      <c r="Q596" s="186"/>
      <c r="R596" s="186"/>
      <c r="S596" s="186"/>
      <c r="T596" s="186"/>
      <c r="U596" s="187">
        <f>SUM(C596:T596)</f>
        <v>0</v>
      </c>
    </row>
    <row r="597" spans="1:21" ht="21" customHeight="1">
      <c r="A597" s="179">
        <v>320100</v>
      </c>
      <c r="B597" s="83" t="s">
        <v>266</v>
      </c>
      <c r="C597" s="91">
        <f>2000+9000+3900+4750+4500+4500+7000+7000+3500+4000</f>
        <v>50150</v>
      </c>
      <c r="D597" s="91">
        <v>7000</v>
      </c>
      <c r="E597" s="91"/>
      <c r="F597" s="91"/>
      <c r="G597" s="91"/>
      <c r="H597" s="91">
        <v>7000</v>
      </c>
      <c r="I597" s="91"/>
      <c r="J597" s="110"/>
      <c r="K597" s="91"/>
      <c r="L597" s="91">
        <f>7000+7000+7000+7000+7381.25</f>
        <v>35381.25</v>
      </c>
      <c r="M597" s="431">
        <v>3640</v>
      </c>
      <c r="N597" s="91"/>
      <c r="O597" s="91"/>
      <c r="P597" s="91"/>
      <c r="Q597" s="91"/>
      <c r="R597" s="91"/>
      <c r="S597" s="91">
        <v>8000</v>
      </c>
      <c r="T597" s="91"/>
      <c r="U597" s="181">
        <f>SUM(C597:T597)</f>
        <v>111171.25</v>
      </c>
    </row>
    <row r="598" spans="1:21" ht="21" customHeight="1">
      <c r="A598" s="179">
        <v>320200</v>
      </c>
      <c r="B598" s="83" t="s">
        <v>267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431"/>
      <c r="N598" s="91"/>
      <c r="O598" s="91"/>
      <c r="P598" s="91"/>
      <c r="Q598" s="91"/>
      <c r="R598" s="91"/>
      <c r="S598" s="91"/>
      <c r="T598" s="91"/>
      <c r="U598" s="181">
        <f>SUM(C598:T598)</f>
        <v>0</v>
      </c>
    </row>
    <row r="599" spans="1:21" ht="21" customHeight="1">
      <c r="A599" s="179">
        <v>320300</v>
      </c>
      <c r="B599" s="83" t="s">
        <v>268</v>
      </c>
      <c r="C599" s="91">
        <f>16000+784</f>
        <v>16784</v>
      </c>
      <c r="D599" s="91"/>
      <c r="E599" s="91"/>
      <c r="F599" s="91"/>
      <c r="G599" s="91"/>
      <c r="H599" s="91"/>
      <c r="I599" s="91"/>
      <c r="J599" s="91"/>
      <c r="K599" s="91"/>
      <c r="L599" s="91"/>
      <c r="M599" s="431">
        <f>3000+4000+8000+500+14000</f>
        <v>29500</v>
      </c>
      <c r="N599" s="91"/>
      <c r="O599" s="91"/>
      <c r="P599" s="91">
        <v>9750</v>
      </c>
      <c r="Q599" s="91"/>
      <c r="R599" s="91"/>
      <c r="S599" s="91"/>
      <c r="T599" s="91"/>
      <c r="U599" s="181">
        <f>SUM(C599:T599)</f>
        <v>56034</v>
      </c>
    </row>
    <row r="600" spans="1:21" ht="21" customHeight="1">
      <c r="A600" s="182">
        <v>320400</v>
      </c>
      <c r="B600" s="84" t="s">
        <v>269</v>
      </c>
      <c r="C600" s="115">
        <f>2650+2576.56</f>
        <v>5226.5599999999995</v>
      </c>
      <c r="D600" s="115"/>
      <c r="E600" s="115"/>
      <c r="F600" s="115"/>
      <c r="G600" s="115"/>
      <c r="H600" s="115"/>
      <c r="I600" s="115"/>
      <c r="J600" s="319"/>
      <c r="K600" s="115"/>
      <c r="L600" s="115"/>
      <c r="M600" s="432"/>
      <c r="N600" s="115"/>
      <c r="O600" s="115"/>
      <c r="P600" s="115"/>
      <c r="Q600" s="115"/>
      <c r="R600" s="115"/>
      <c r="S600" s="115"/>
      <c r="T600" s="115"/>
      <c r="U600" s="181">
        <f>SUM(C600:T600)</f>
        <v>5226.5599999999995</v>
      </c>
    </row>
    <row r="601" spans="1:21" ht="21" customHeight="1">
      <c r="A601" s="756" t="s">
        <v>252</v>
      </c>
      <c r="B601" s="757"/>
      <c r="C601" s="181">
        <f>SUM(C597:C600)</f>
        <v>72160.56</v>
      </c>
      <c r="D601" s="181">
        <f>SUM(D597:D600)</f>
        <v>7000</v>
      </c>
      <c r="E601" s="181">
        <f aca="true" t="shared" si="166" ref="E601:T601">SUM(E597:E600)</f>
        <v>0</v>
      </c>
      <c r="F601" s="181">
        <f t="shared" si="166"/>
        <v>0</v>
      </c>
      <c r="G601" s="181">
        <f t="shared" si="166"/>
        <v>0</v>
      </c>
      <c r="H601" s="181">
        <f t="shared" si="166"/>
        <v>7000</v>
      </c>
      <c r="I601" s="181">
        <f t="shared" si="166"/>
        <v>0</v>
      </c>
      <c r="J601" s="181">
        <f t="shared" si="166"/>
        <v>0</v>
      </c>
      <c r="K601" s="181">
        <f t="shared" si="166"/>
        <v>0</v>
      </c>
      <c r="L601" s="181">
        <f t="shared" si="166"/>
        <v>35381.25</v>
      </c>
      <c r="M601" s="433">
        <f t="shared" si="166"/>
        <v>33140</v>
      </c>
      <c r="N601" s="181">
        <f t="shared" si="166"/>
        <v>0</v>
      </c>
      <c r="O601" s="181">
        <f t="shared" si="166"/>
        <v>0</v>
      </c>
      <c r="P601" s="181">
        <f t="shared" si="166"/>
        <v>9750</v>
      </c>
      <c r="Q601" s="181">
        <f t="shared" si="166"/>
        <v>0</v>
      </c>
      <c r="R601" s="181">
        <f t="shared" si="166"/>
        <v>0</v>
      </c>
      <c r="S601" s="181">
        <f t="shared" si="166"/>
        <v>8000</v>
      </c>
      <c r="T601" s="181">
        <f t="shared" si="166"/>
        <v>0</v>
      </c>
      <c r="U601" s="181">
        <f>SUM(C601:T601)</f>
        <v>172431.81</v>
      </c>
    </row>
    <row r="602" spans="1:21" ht="21" customHeight="1">
      <c r="A602" s="758" t="s">
        <v>253</v>
      </c>
      <c r="B602" s="759"/>
      <c r="C602" s="185">
        <f>+C601+C491</f>
        <v>695491.21</v>
      </c>
      <c r="D602" s="185">
        <f aca="true" t="shared" si="167" ref="D602:U602">+D601+D491</f>
        <v>50224</v>
      </c>
      <c r="E602" s="185">
        <f t="shared" si="167"/>
        <v>13240</v>
      </c>
      <c r="F602" s="185">
        <f t="shared" si="167"/>
        <v>38436</v>
      </c>
      <c r="G602" s="185">
        <f t="shared" si="167"/>
        <v>523200</v>
      </c>
      <c r="H602" s="185">
        <f t="shared" si="167"/>
        <v>28000</v>
      </c>
      <c r="I602" s="185">
        <f t="shared" si="167"/>
        <v>0</v>
      </c>
      <c r="J602" s="185">
        <f t="shared" si="167"/>
        <v>3250</v>
      </c>
      <c r="K602" s="185">
        <f t="shared" si="167"/>
        <v>0</v>
      </c>
      <c r="L602" s="185">
        <f t="shared" si="167"/>
        <v>199680</v>
      </c>
      <c r="M602" s="185">
        <f t="shared" si="167"/>
        <v>133305</v>
      </c>
      <c r="N602" s="185">
        <f t="shared" si="167"/>
        <v>10000</v>
      </c>
      <c r="O602" s="185">
        <f t="shared" si="167"/>
        <v>163890</v>
      </c>
      <c r="P602" s="185">
        <f t="shared" si="167"/>
        <v>9750</v>
      </c>
      <c r="Q602" s="185">
        <f t="shared" si="167"/>
        <v>0</v>
      </c>
      <c r="R602" s="185">
        <f t="shared" si="167"/>
        <v>0</v>
      </c>
      <c r="S602" s="185">
        <f t="shared" si="167"/>
        <v>40000</v>
      </c>
      <c r="T602" s="185">
        <f t="shared" si="167"/>
        <v>0</v>
      </c>
      <c r="U602" s="185">
        <f t="shared" si="167"/>
        <v>1908466.21</v>
      </c>
    </row>
    <row r="603" spans="1:21" ht="21" customHeight="1">
      <c r="A603" s="771" t="s">
        <v>295</v>
      </c>
      <c r="B603" s="772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M603" s="434"/>
      <c r="N603" s="186"/>
      <c r="O603" s="186"/>
      <c r="P603" s="186"/>
      <c r="Q603" s="186"/>
      <c r="R603" s="186"/>
      <c r="S603" s="186"/>
      <c r="T603" s="186"/>
      <c r="U603" s="187">
        <f aca="true" t="shared" si="168" ref="U603:U608">SUM(C603:T603)</f>
        <v>0</v>
      </c>
    </row>
    <row r="604" spans="1:21" ht="21" customHeight="1">
      <c r="A604" s="179">
        <v>330100</v>
      </c>
      <c r="B604" s="83" t="s">
        <v>270</v>
      </c>
      <c r="C604" s="91">
        <f>13350+14058</f>
        <v>27408</v>
      </c>
      <c r="D604" s="91">
        <v>4825</v>
      </c>
      <c r="E604" s="91"/>
      <c r="F604" s="91"/>
      <c r="G604" s="91"/>
      <c r="H604" s="91"/>
      <c r="I604" s="91"/>
      <c r="J604" s="91"/>
      <c r="K604" s="91"/>
      <c r="L604" s="91"/>
      <c r="M604" s="431"/>
      <c r="N604" s="91"/>
      <c r="O604" s="91"/>
      <c r="P604" s="91"/>
      <c r="Q604" s="91"/>
      <c r="R604" s="91"/>
      <c r="S604" s="91"/>
      <c r="T604" s="91"/>
      <c r="U604" s="181">
        <f t="shared" si="168"/>
        <v>32233</v>
      </c>
    </row>
    <row r="605" spans="1:21" ht="21" customHeight="1">
      <c r="A605" s="179">
        <v>330200</v>
      </c>
      <c r="B605" s="83" t="s">
        <v>271</v>
      </c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431"/>
      <c r="N605" s="91"/>
      <c r="O605" s="91"/>
      <c r="P605" s="91"/>
      <c r="Q605" s="91"/>
      <c r="R605" s="91"/>
      <c r="S605" s="91"/>
      <c r="T605" s="91"/>
      <c r="U605" s="181">
        <f t="shared" si="168"/>
        <v>0</v>
      </c>
    </row>
    <row r="606" spans="1:21" ht="21" customHeight="1">
      <c r="A606" s="179">
        <v>330300</v>
      </c>
      <c r="B606" s="83" t="s">
        <v>406</v>
      </c>
      <c r="C606" s="91">
        <f>2030+600</f>
        <v>2630</v>
      </c>
      <c r="D606" s="91"/>
      <c r="E606" s="91"/>
      <c r="F606" s="91"/>
      <c r="G606" s="91"/>
      <c r="H606" s="91"/>
      <c r="I606" s="91"/>
      <c r="J606" s="91"/>
      <c r="K606" s="91"/>
      <c r="L606" s="91"/>
      <c r="M606" s="431"/>
      <c r="N606" s="91"/>
      <c r="O606" s="91"/>
      <c r="P606" s="91"/>
      <c r="Q606" s="91"/>
      <c r="R606" s="91"/>
      <c r="S606" s="91"/>
      <c r="T606" s="91"/>
      <c r="U606" s="181">
        <f t="shared" si="168"/>
        <v>2630</v>
      </c>
    </row>
    <row r="607" spans="1:21" ht="21" customHeight="1">
      <c r="A607" s="179">
        <v>330400</v>
      </c>
      <c r="B607" s="83" t="s">
        <v>296</v>
      </c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431"/>
      <c r="N607" s="91"/>
      <c r="O607" s="91"/>
      <c r="P607" s="91"/>
      <c r="Q607" s="91"/>
      <c r="R607" s="91"/>
      <c r="S607" s="91"/>
      <c r="T607" s="91"/>
      <c r="U607" s="181">
        <f t="shared" si="168"/>
        <v>0</v>
      </c>
    </row>
    <row r="608" spans="1:21" ht="21" customHeight="1">
      <c r="A608" s="179">
        <v>330600</v>
      </c>
      <c r="B608" s="83" t="s">
        <v>272</v>
      </c>
      <c r="C608" s="91">
        <v>11420</v>
      </c>
      <c r="D608" s="91"/>
      <c r="E608" s="91"/>
      <c r="F608" s="91"/>
      <c r="G608" s="91"/>
      <c r="H608" s="91"/>
      <c r="I608" s="91"/>
      <c r="J608" s="91"/>
      <c r="K608" s="91"/>
      <c r="L608" s="91"/>
      <c r="M608" s="431"/>
      <c r="N608" s="91"/>
      <c r="O608" s="91"/>
      <c r="P608" s="91"/>
      <c r="Q608" s="91"/>
      <c r="R608" s="91"/>
      <c r="S608" s="91"/>
      <c r="T608" s="91"/>
      <c r="U608" s="181">
        <f t="shared" si="168"/>
        <v>11420</v>
      </c>
    </row>
    <row r="609" spans="1:21" ht="21" customHeight="1">
      <c r="A609" s="179">
        <v>330800</v>
      </c>
      <c r="B609" s="83" t="s">
        <v>273</v>
      </c>
      <c r="C609" s="91">
        <v>30000</v>
      </c>
      <c r="D609" s="91"/>
      <c r="E609" s="91"/>
      <c r="F609" s="91"/>
      <c r="G609" s="91"/>
      <c r="H609" s="91">
        <v>9000</v>
      </c>
      <c r="I609" s="91"/>
      <c r="J609" s="91"/>
      <c r="K609" s="91"/>
      <c r="L609" s="91">
        <v>23650</v>
      </c>
      <c r="M609" s="431"/>
      <c r="N609" s="91"/>
      <c r="O609" s="91"/>
      <c r="P609" s="91"/>
      <c r="Q609" s="91"/>
      <c r="R609" s="91"/>
      <c r="S609" s="91"/>
      <c r="T609" s="91"/>
      <c r="U609" s="181">
        <f>SUM(C609:T609)</f>
        <v>62650</v>
      </c>
    </row>
    <row r="610" spans="1:21" ht="21" customHeight="1">
      <c r="A610" s="179">
        <v>330900</v>
      </c>
      <c r="B610" s="83" t="s">
        <v>275</v>
      </c>
      <c r="C610" s="91"/>
      <c r="D610" s="91"/>
      <c r="E610" s="91"/>
      <c r="F610" s="91"/>
      <c r="G610" s="91"/>
      <c r="H610" s="91">
        <v>50000</v>
      </c>
      <c r="I610" s="91"/>
      <c r="J610" s="91"/>
      <c r="K610" s="91"/>
      <c r="L610" s="91"/>
      <c r="M610" s="431"/>
      <c r="N610" s="91"/>
      <c r="O610" s="91"/>
      <c r="P610" s="91"/>
      <c r="Q610" s="91"/>
      <c r="R610" s="91"/>
      <c r="S610" s="91"/>
      <c r="T610" s="91"/>
      <c r="U610" s="181">
        <f>SUM(C610:T610)</f>
        <v>50000</v>
      </c>
    </row>
    <row r="611" spans="1:21" ht="21" customHeight="1">
      <c r="A611" s="769" t="s">
        <v>216</v>
      </c>
      <c r="B611" s="769"/>
      <c r="C611" s="768" t="s">
        <v>218</v>
      </c>
      <c r="D611" s="768"/>
      <c r="E611" s="546" t="s">
        <v>221</v>
      </c>
      <c r="F611" s="768" t="s">
        <v>223</v>
      </c>
      <c r="G611" s="769"/>
      <c r="H611" s="546" t="s">
        <v>237</v>
      </c>
      <c r="I611" s="546" t="s">
        <v>238</v>
      </c>
      <c r="J611" s="765" t="s">
        <v>239</v>
      </c>
      <c r="K611" s="766"/>
      <c r="L611" s="767"/>
      <c r="M611" s="547" t="s">
        <v>240</v>
      </c>
      <c r="N611" s="765" t="s">
        <v>241</v>
      </c>
      <c r="O611" s="766"/>
      <c r="P611" s="767"/>
      <c r="Q611" s="768" t="s">
        <v>242</v>
      </c>
      <c r="R611" s="769"/>
      <c r="S611" s="546" t="s">
        <v>306</v>
      </c>
      <c r="T611" s="546" t="s">
        <v>243</v>
      </c>
      <c r="U611" s="770" t="s">
        <v>17</v>
      </c>
    </row>
    <row r="612" spans="1:21" ht="21" customHeight="1">
      <c r="A612" s="769" t="s">
        <v>217</v>
      </c>
      <c r="B612" s="769"/>
      <c r="C612" s="546" t="s">
        <v>219</v>
      </c>
      <c r="D612" s="546" t="s">
        <v>220</v>
      </c>
      <c r="E612" s="546" t="s">
        <v>312</v>
      </c>
      <c r="F612" s="546" t="s">
        <v>224</v>
      </c>
      <c r="G612" s="546" t="s">
        <v>225</v>
      </c>
      <c r="H612" s="546" t="s">
        <v>227</v>
      </c>
      <c r="I612" s="546" t="s">
        <v>228</v>
      </c>
      <c r="J612" s="546" t="s">
        <v>229</v>
      </c>
      <c r="K612" s="546" t="s">
        <v>230</v>
      </c>
      <c r="L612" s="546" t="s">
        <v>431</v>
      </c>
      <c r="M612" s="547" t="s">
        <v>231</v>
      </c>
      <c r="N612" s="546" t="s">
        <v>232</v>
      </c>
      <c r="O612" s="546" t="s">
        <v>233</v>
      </c>
      <c r="P612" s="546" t="s">
        <v>314</v>
      </c>
      <c r="Q612" s="546" t="s">
        <v>234</v>
      </c>
      <c r="R612" s="546" t="s">
        <v>235</v>
      </c>
      <c r="S612" s="546" t="s">
        <v>307</v>
      </c>
      <c r="T612" s="546" t="s">
        <v>236</v>
      </c>
      <c r="U612" s="770"/>
    </row>
    <row r="613" spans="1:21" ht="21" customHeight="1">
      <c r="A613" s="179">
        <v>331200</v>
      </c>
      <c r="B613" s="83" t="s">
        <v>276</v>
      </c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431"/>
      <c r="N613" s="91"/>
      <c r="O613" s="91"/>
      <c r="P613" s="91"/>
      <c r="Q613" s="91"/>
      <c r="R613" s="91"/>
      <c r="S613" s="91"/>
      <c r="T613" s="91"/>
      <c r="U613" s="181">
        <f aca="true" t="shared" si="169" ref="U613:U618">SUM(C613:T613)</f>
        <v>0</v>
      </c>
    </row>
    <row r="614" spans="1:21" ht="21" customHeight="1">
      <c r="A614" s="179">
        <v>331300</v>
      </c>
      <c r="B614" s="83" t="s">
        <v>277</v>
      </c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431"/>
      <c r="N614" s="91"/>
      <c r="O614" s="91"/>
      <c r="P614" s="91"/>
      <c r="Q614" s="91"/>
      <c r="R614" s="91"/>
      <c r="S614" s="91"/>
      <c r="T614" s="91"/>
      <c r="U614" s="181">
        <f t="shared" si="169"/>
        <v>0</v>
      </c>
    </row>
    <row r="615" spans="1:21" ht="21" customHeight="1">
      <c r="A615" s="179">
        <v>331400</v>
      </c>
      <c r="B615" s="83" t="s">
        <v>274</v>
      </c>
      <c r="C615" s="91"/>
      <c r="D615" s="91">
        <v>13100</v>
      </c>
      <c r="E615" s="91"/>
      <c r="F615" s="91"/>
      <c r="G615" s="91"/>
      <c r="H615" s="91"/>
      <c r="I615" s="91"/>
      <c r="J615" s="91"/>
      <c r="K615" s="91"/>
      <c r="L615" s="91"/>
      <c r="M615" s="431"/>
      <c r="N615" s="91"/>
      <c r="O615" s="91"/>
      <c r="P615" s="91"/>
      <c r="Q615" s="91"/>
      <c r="R615" s="91"/>
      <c r="S615" s="91"/>
      <c r="T615" s="91"/>
      <c r="U615" s="181">
        <f t="shared" si="169"/>
        <v>13100</v>
      </c>
    </row>
    <row r="616" spans="1:21" ht="21" customHeight="1">
      <c r="A616" s="179">
        <v>331500</v>
      </c>
      <c r="B616" s="83" t="s">
        <v>278</v>
      </c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431"/>
      <c r="N616" s="91"/>
      <c r="O616" s="91"/>
      <c r="P616" s="91"/>
      <c r="Q616" s="91"/>
      <c r="R616" s="91"/>
      <c r="S616" s="91"/>
      <c r="T616" s="91"/>
      <c r="U616" s="181">
        <f t="shared" si="169"/>
        <v>0</v>
      </c>
    </row>
    <row r="617" spans="1:21" ht="21" customHeight="1">
      <c r="A617" s="182">
        <v>331700</v>
      </c>
      <c r="B617" s="84" t="s">
        <v>279</v>
      </c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432"/>
      <c r="N617" s="115"/>
      <c r="O617" s="115"/>
      <c r="P617" s="115"/>
      <c r="Q617" s="115"/>
      <c r="R617" s="115"/>
      <c r="S617" s="115"/>
      <c r="T617" s="115"/>
      <c r="U617" s="181">
        <f t="shared" si="169"/>
        <v>0</v>
      </c>
    </row>
    <row r="618" spans="1:21" ht="21" customHeight="1">
      <c r="A618" s="756" t="s">
        <v>252</v>
      </c>
      <c r="B618" s="757"/>
      <c r="C618" s="181">
        <f>SUM(C604:C617)</f>
        <v>71458</v>
      </c>
      <c r="D618" s="181">
        <f aca="true" t="shared" si="170" ref="D618:M618">SUM(D604:D617)</f>
        <v>17925</v>
      </c>
      <c r="E618" s="181">
        <f t="shared" si="170"/>
        <v>0</v>
      </c>
      <c r="F618" s="181">
        <f t="shared" si="170"/>
        <v>0</v>
      </c>
      <c r="G618" s="181">
        <f t="shared" si="170"/>
        <v>0</v>
      </c>
      <c r="H618" s="181">
        <f t="shared" si="170"/>
        <v>59000</v>
      </c>
      <c r="I618" s="181">
        <f t="shared" si="170"/>
        <v>0</v>
      </c>
      <c r="J618" s="181">
        <f t="shared" si="170"/>
        <v>0</v>
      </c>
      <c r="K618" s="181">
        <f t="shared" si="170"/>
        <v>0</v>
      </c>
      <c r="L618" s="181">
        <f t="shared" si="170"/>
        <v>23650</v>
      </c>
      <c r="M618" s="433">
        <f t="shared" si="170"/>
        <v>0</v>
      </c>
      <c r="N618" s="181">
        <f>SUM(N604:N617)</f>
        <v>0</v>
      </c>
      <c r="O618" s="181">
        <f>SUM(O604:O617)</f>
        <v>0</v>
      </c>
      <c r="P618" s="181"/>
      <c r="Q618" s="181">
        <f>SUM(Q604:Q617)</f>
        <v>0</v>
      </c>
      <c r="R618" s="181">
        <f>SUM(R604:R617)</f>
        <v>0</v>
      </c>
      <c r="S618" s="181">
        <f>SUM(S604:S617)</f>
        <v>0</v>
      </c>
      <c r="T618" s="181">
        <f>SUM(T604:T617)</f>
        <v>0</v>
      </c>
      <c r="U618" s="181">
        <f t="shared" si="169"/>
        <v>172033</v>
      </c>
    </row>
    <row r="619" spans="1:21" ht="21" customHeight="1">
      <c r="A619" s="758" t="s">
        <v>253</v>
      </c>
      <c r="B619" s="759"/>
      <c r="C619" s="185">
        <f>+C618+C508</f>
        <v>239962</v>
      </c>
      <c r="D619" s="185">
        <f aca="true" t="shared" si="171" ref="D619:U619">+D618+D508</f>
        <v>51223</v>
      </c>
      <c r="E619" s="185">
        <f t="shared" si="171"/>
        <v>0</v>
      </c>
      <c r="F619" s="185">
        <f t="shared" si="171"/>
        <v>0</v>
      </c>
      <c r="G619" s="185">
        <f t="shared" si="171"/>
        <v>0</v>
      </c>
      <c r="H619" s="185">
        <f t="shared" si="171"/>
        <v>140680</v>
      </c>
      <c r="I619" s="185">
        <f t="shared" si="171"/>
        <v>0</v>
      </c>
      <c r="J619" s="185">
        <f t="shared" si="171"/>
        <v>0</v>
      </c>
      <c r="K619" s="185">
        <f t="shared" si="171"/>
        <v>0</v>
      </c>
      <c r="L619" s="185">
        <f t="shared" si="171"/>
        <v>112150</v>
      </c>
      <c r="M619" s="185">
        <f t="shared" si="171"/>
        <v>0</v>
      </c>
      <c r="N619" s="185">
        <f t="shared" si="171"/>
        <v>0</v>
      </c>
      <c r="O619" s="185">
        <f t="shared" si="171"/>
        <v>0</v>
      </c>
      <c r="P619" s="185">
        <f t="shared" si="171"/>
        <v>0</v>
      </c>
      <c r="Q619" s="185">
        <f t="shared" si="171"/>
        <v>0</v>
      </c>
      <c r="R619" s="185">
        <f t="shared" si="171"/>
        <v>0</v>
      </c>
      <c r="S619" s="185">
        <f t="shared" si="171"/>
        <v>45759</v>
      </c>
      <c r="T619" s="185">
        <f t="shared" si="171"/>
        <v>0</v>
      </c>
      <c r="U619" s="185">
        <f t="shared" si="171"/>
        <v>589774</v>
      </c>
    </row>
    <row r="620" spans="1:21" ht="21" customHeight="1">
      <c r="A620" s="771" t="s">
        <v>297</v>
      </c>
      <c r="B620" s="772"/>
      <c r="C620" s="186"/>
      <c r="D620" s="186"/>
      <c r="E620" s="186"/>
      <c r="F620" s="186"/>
      <c r="G620" s="186"/>
      <c r="H620" s="186"/>
      <c r="I620" s="186"/>
      <c r="J620" s="186"/>
      <c r="K620" s="186"/>
      <c r="L620" s="186"/>
      <c r="M620" s="434"/>
      <c r="N620" s="186"/>
      <c r="O620" s="186"/>
      <c r="P620" s="186"/>
      <c r="Q620" s="186"/>
      <c r="R620" s="186"/>
      <c r="S620" s="186"/>
      <c r="T620" s="186"/>
      <c r="U620" s="187">
        <f aca="true" t="shared" si="172" ref="U620:U625">SUM(C620:T620)</f>
        <v>0</v>
      </c>
    </row>
    <row r="621" spans="1:21" ht="21" customHeight="1">
      <c r="A621" s="179">
        <v>340100</v>
      </c>
      <c r="B621" s="83" t="s">
        <v>280</v>
      </c>
      <c r="C621" s="91">
        <f>17528.23+24783.05</f>
        <v>42311.28</v>
      </c>
      <c r="D621" s="91"/>
      <c r="E621" s="91"/>
      <c r="F621" s="91"/>
      <c r="G621" s="91"/>
      <c r="H621" s="91"/>
      <c r="I621" s="91"/>
      <c r="J621" s="91"/>
      <c r="K621" s="91"/>
      <c r="L621" s="91"/>
      <c r="M621" s="431"/>
      <c r="N621" s="91"/>
      <c r="O621" s="91"/>
      <c r="P621" s="91"/>
      <c r="Q621" s="91"/>
      <c r="R621" s="91"/>
      <c r="S621" s="91">
        <f>50073.07+70323.96</f>
        <v>120397.03</v>
      </c>
      <c r="T621" s="91"/>
      <c r="U621" s="181">
        <f t="shared" si="172"/>
        <v>162708.31</v>
      </c>
    </row>
    <row r="622" spans="1:21" ht="21" customHeight="1">
      <c r="A622" s="179">
        <v>340300</v>
      </c>
      <c r="B622" s="83" t="s">
        <v>281</v>
      </c>
      <c r="C622" s="91">
        <f>596.74+612.95</f>
        <v>1209.69</v>
      </c>
      <c r="D622" s="91"/>
      <c r="E622" s="91"/>
      <c r="F622" s="91"/>
      <c r="G622" s="91"/>
      <c r="H622" s="91"/>
      <c r="I622" s="91"/>
      <c r="J622" s="91"/>
      <c r="K622" s="91"/>
      <c r="L622" s="91"/>
      <c r="M622" s="431"/>
      <c r="N622" s="91"/>
      <c r="O622" s="91"/>
      <c r="P622" s="91"/>
      <c r="Q622" s="91"/>
      <c r="R622" s="91"/>
      <c r="S622" s="91"/>
      <c r="T622" s="91"/>
      <c r="U622" s="181">
        <f t="shared" si="172"/>
        <v>1209.69</v>
      </c>
    </row>
    <row r="623" spans="1:21" ht="21" customHeight="1">
      <c r="A623" s="179">
        <v>340400</v>
      </c>
      <c r="B623" s="83" t="s">
        <v>282</v>
      </c>
      <c r="C623" s="91">
        <v>4852</v>
      </c>
      <c r="D623" s="91"/>
      <c r="E623" s="91"/>
      <c r="F623" s="91"/>
      <c r="G623" s="91"/>
      <c r="H623" s="91"/>
      <c r="I623" s="91"/>
      <c r="J623" s="91"/>
      <c r="K623" s="91"/>
      <c r="L623" s="91"/>
      <c r="M623" s="431"/>
      <c r="N623" s="91"/>
      <c r="O623" s="91"/>
      <c r="P623" s="91"/>
      <c r="Q623" s="91"/>
      <c r="R623" s="91"/>
      <c r="S623" s="91"/>
      <c r="T623" s="91"/>
      <c r="U623" s="181">
        <f t="shared" si="172"/>
        <v>4852</v>
      </c>
    </row>
    <row r="624" spans="1:21" ht="21" customHeight="1">
      <c r="A624" s="182">
        <v>340500</v>
      </c>
      <c r="B624" s="84" t="s">
        <v>283</v>
      </c>
      <c r="C624" s="91">
        <f>8560+8560</f>
        <v>17120</v>
      </c>
      <c r="D624" s="115"/>
      <c r="E624" s="115"/>
      <c r="F624" s="115"/>
      <c r="G624" s="115"/>
      <c r="H624" s="115"/>
      <c r="I624" s="115"/>
      <c r="J624" s="115"/>
      <c r="K624" s="115"/>
      <c r="L624" s="115"/>
      <c r="M624" s="432"/>
      <c r="N624" s="115"/>
      <c r="O624" s="115"/>
      <c r="P624" s="115"/>
      <c r="Q624" s="115"/>
      <c r="R624" s="115"/>
      <c r="S624" s="115"/>
      <c r="T624" s="115"/>
      <c r="U624" s="184">
        <f t="shared" si="172"/>
        <v>17120</v>
      </c>
    </row>
    <row r="625" spans="1:21" ht="21" customHeight="1">
      <c r="A625" s="756" t="s">
        <v>252</v>
      </c>
      <c r="B625" s="757"/>
      <c r="C625" s="181">
        <f>SUM(C621:C624)</f>
        <v>65492.97</v>
      </c>
      <c r="D625" s="181">
        <f aca="true" t="shared" si="173" ref="D625:L625">SUM(D621:D624)</f>
        <v>0</v>
      </c>
      <c r="E625" s="181">
        <f t="shared" si="173"/>
        <v>0</v>
      </c>
      <c r="F625" s="181">
        <f t="shared" si="173"/>
        <v>0</v>
      </c>
      <c r="G625" s="181">
        <f t="shared" si="173"/>
        <v>0</v>
      </c>
      <c r="H625" s="181">
        <f t="shared" si="173"/>
        <v>0</v>
      </c>
      <c r="I625" s="181">
        <f t="shared" si="173"/>
        <v>0</v>
      </c>
      <c r="J625" s="181">
        <f t="shared" si="173"/>
        <v>0</v>
      </c>
      <c r="K625" s="181">
        <f t="shared" si="173"/>
        <v>0</v>
      </c>
      <c r="L625" s="181">
        <f t="shared" si="173"/>
        <v>0</v>
      </c>
      <c r="M625" s="433">
        <f>SUM(M621:M624)</f>
        <v>0</v>
      </c>
      <c r="N625" s="181">
        <f>SUM(N621:N624)</f>
        <v>0</v>
      </c>
      <c r="O625" s="181">
        <f>SUM(O621:O624)</f>
        <v>0</v>
      </c>
      <c r="P625" s="181"/>
      <c r="Q625" s="181">
        <f>SUM(Q621:Q624)</f>
        <v>0</v>
      </c>
      <c r="R625" s="181">
        <f>SUM(R621:R624)</f>
        <v>0</v>
      </c>
      <c r="S625" s="181">
        <f>SUM(S621:S624)</f>
        <v>120397.03</v>
      </c>
      <c r="T625" s="181">
        <f>SUM(T621:T624)</f>
        <v>0</v>
      </c>
      <c r="U625" s="181">
        <f t="shared" si="172"/>
        <v>185890</v>
      </c>
    </row>
    <row r="626" spans="1:21" ht="21" customHeight="1">
      <c r="A626" s="758" t="s">
        <v>253</v>
      </c>
      <c r="B626" s="759"/>
      <c r="C626" s="185">
        <f>+C625+C515</f>
        <v>195325.75</v>
      </c>
      <c r="D626" s="185">
        <f aca="true" t="shared" si="174" ref="D626:U626">+D625+D515</f>
        <v>0</v>
      </c>
      <c r="E626" s="185">
        <f t="shared" si="174"/>
        <v>0</v>
      </c>
      <c r="F626" s="185">
        <f t="shared" si="174"/>
        <v>0</v>
      </c>
      <c r="G626" s="185">
        <f t="shared" si="174"/>
        <v>0</v>
      </c>
      <c r="H626" s="185">
        <f t="shared" si="174"/>
        <v>3105</v>
      </c>
      <c r="I626" s="185">
        <f t="shared" si="174"/>
        <v>0</v>
      </c>
      <c r="J626" s="185">
        <f t="shared" si="174"/>
        <v>0</v>
      </c>
      <c r="K626" s="185">
        <f t="shared" si="174"/>
        <v>0</v>
      </c>
      <c r="L626" s="185">
        <f t="shared" si="174"/>
        <v>0</v>
      </c>
      <c r="M626" s="185">
        <f t="shared" si="174"/>
        <v>0</v>
      </c>
      <c r="N626" s="185">
        <f t="shared" si="174"/>
        <v>0</v>
      </c>
      <c r="O626" s="185">
        <f t="shared" si="174"/>
        <v>0</v>
      </c>
      <c r="P626" s="185">
        <f t="shared" si="174"/>
        <v>0</v>
      </c>
      <c r="Q626" s="185">
        <f t="shared" si="174"/>
        <v>0</v>
      </c>
      <c r="R626" s="185">
        <f t="shared" si="174"/>
        <v>0</v>
      </c>
      <c r="S626" s="185">
        <f t="shared" si="174"/>
        <v>302567.15</v>
      </c>
      <c r="T626" s="185">
        <f t="shared" si="174"/>
        <v>0</v>
      </c>
      <c r="U626" s="185">
        <f t="shared" si="174"/>
        <v>500997.89999999997</v>
      </c>
    </row>
    <row r="627" spans="1:21" ht="21" customHeight="1">
      <c r="A627" s="771" t="s">
        <v>298</v>
      </c>
      <c r="B627" s="772"/>
      <c r="C627" s="186"/>
      <c r="D627" s="186"/>
      <c r="E627" s="186"/>
      <c r="F627" s="186"/>
      <c r="G627" s="186"/>
      <c r="H627" s="186"/>
      <c r="I627" s="186"/>
      <c r="J627" s="186"/>
      <c r="K627" s="186"/>
      <c r="L627" s="186"/>
      <c r="M627" s="434"/>
      <c r="N627" s="186"/>
      <c r="O627" s="186"/>
      <c r="P627" s="186"/>
      <c r="Q627" s="186"/>
      <c r="R627" s="186"/>
      <c r="S627" s="186"/>
      <c r="T627" s="186"/>
      <c r="U627" s="187">
        <f aca="true" t="shared" si="175" ref="U627:U636">SUM(C627:T627)</f>
        <v>0</v>
      </c>
    </row>
    <row r="628" spans="1:21" ht="21" customHeight="1">
      <c r="A628" s="179">
        <v>410400</v>
      </c>
      <c r="B628" s="83" t="s">
        <v>284</v>
      </c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431"/>
      <c r="N628" s="91"/>
      <c r="O628" s="91"/>
      <c r="P628" s="91"/>
      <c r="Q628" s="91"/>
      <c r="R628" s="91"/>
      <c r="S628" s="91"/>
      <c r="T628" s="91"/>
      <c r="U628" s="181">
        <f t="shared" si="175"/>
        <v>0</v>
      </c>
    </row>
    <row r="629" spans="1:21" ht="21" customHeight="1">
      <c r="A629" s="179">
        <v>410200</v>
      </c>
      <c r="B629" s="83" t="s">
        <v>344</v>
      </c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431"/>
      <c r="N629" s="91"/>
      <c r="O629" s="91"/>
      <c r="P629" s="91"/>
      <c r="Q629" s="91"/>
      <c r="R629" s="91"/>
      <c r="S629" s="91"/>
      <c r="T629" s="91"/>
      <c r="U629" s="181">
        <f t="shared" si="175"/>
        <v>0</v>
      </c>
    </row>
    <row r="630" spans="1:21" ht="21" customHeight="1">
      <c r="A630" s="179">
        <v>410300</v>
      </c>
      <c r="B630" s="83" t="s">
        <v>285</v>
      </c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431"/>
      <c r="N630" s="91"/>
      <c r="O630" s="91"/>
      <c r="P630" s="91"/>
      <c r="Q630" s="91"/>
      <c r="R630" s="91"/>
      <c r="S630" s="91"/>
      <c r="T630" s="91"/>
      <c r="U630" s="181">
        <f t="shared" si="175"/>
        <v>0</v>
      </c>
    </row>
    <row r="631" spans="1:21" ht="21" customHeight="1">
      <c r="A631" s="179">
        <v>410400</v>
      </c>
      <c r="B631" s="83" t="s">
        <v>345</v>
      </c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432"/>
      <c r="N631" s="115"/>
      <c r="O631" s="115"/>
      <c r="P631" s="115"/>
      <c r="Q631" s="115"/>
      <c r="R631" s="115"/>
      <c r="S631" s="115"/>
      <c r="T631" s="115"/>
      <c r="U631" s="181">
        <f t="shared" si="175"/>
        <v>0</v>
      </c>
    </row>
    <row r="632" spans="1:21" ht="21" customHeight="1">
      <c r="A632" s="179">
        <v>410500</v>
      </c>
      <c r="B632" s="83" t="s">
        <v>346</v>
      </c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432"/>
      <c r="N632" s="115"/>
      <c r="O632" s="115"/>
      <c r="P632" s="115"/>
      <c r="Q632" s="115"/>
      <c r="R632" s="115"/>
      <c r="S632" s="115"/>
      <c r="T632" s="115"/>
      <c r="U632" s="181">
        <f t="shared" si="175"/>
        <v>0</v>
      </c>
    </row>
    <row r="633" spans="1:21" ht="21" customHeight="1">
      <c r="A633" s="179">
        <v>410600</v>
      </c>
      <c r="B633" s="83" t="s">
        <v>347</v>
      </c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432"/>
      <c r="N633" s="115"/>
      <c r="O633" s="115"/>
      <c r="P633" s="115"/>
      <c r="Q633" s="115"/>
      <c r="R633" s="115"/>
      <c r="S633" s="115"/>
      <c r="T633" s="115"/>
      <c r="U633" s="181">
        <f t="shared" si="175"/>
        <v>0</v>
      </c>
    </row>
    <row r="634" spans="1:21" ht="21" customHeight="1">
      <c r="A634" s="179">
        <v>410700</v>
      </c>
      <c r="B634" s="83" t="s">
        <v>286</v>
      </c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431"/>
      <c r="N634" s="91"/>
      <c r="O634" s="91"/>
      <c r="P634" s="91"/>
      <c r="Q634" s="91"/>
      <c r="R634" s="91"/>
      <c r="S634" s="91"/>
      <c r="T634" s="91"/>
      <c r="U634" s="181">
        <f t="shared" si="175"/>
        <v>0</v>
      </c>
    </row>
    <row r="635" spans="1:21" ht="21" customHeight="1">
      <c r="A635" s="179">
        <v>410800</v>
      </c>
      <c r="B635" s="83" t="s">
        <v>348</v>
      </c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432"/>
      <c r="N635" s="115"/>
      <c r="O635" s="115"/>
      <c r="P635" s="115"/>
      <c r="Q635" s="115"/>
      <c r="R635" s="115"/>
      <c r="S635" s="115"/>
      <c r="T635" s="115"/>
      <c r="U635" s="181">
        <f t="shared" si="175"/>
        <v>0</v>
      </c>
    </row>
    <row r="636" spans="1:21" ht="21" customHeight="1">
      <c r="A636" s="179">
        <v>410900</v>
      </c>
      <c r="B636" s="83" t="s">
        <v>529</v>
      </c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432"/>
      <c r="N636" s="115"/>
      <c r="O636" s="115"/>
      <c r="P636" s="115"/>
      <c r="Q636" s="115"/>
      <c r="R636" s="115"/>
      <c r="S636" s="115"/>
      <c r="T636" s="115"/>
      <c r="U636" s="181">
        <f t="shared" si="175"/>
        <v>0</v>
      </c>
    </row>
    <row r="637" spans="1:21" ht="21" customHeight="1">
      <c r="A637" s="179">
        <v>411100</v>
      </c>
      <c r="B637" s="83" t="s">
        <v>668</v>
      </c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432"/>
      <c r="N637" s="115"/>
      <c r="O637" s="115"/>
      <c r="P637" s="115"/>
      <c r="Q637" s="115"/>
      <c r="R637" s="115"/>
      <c r="S637" s="115"/>
      <c r="T637" s="115"/>
      <c r="U637" s="181"/>
    </row>
    <row r="638" spans="1:21" ht="21" customHeight="1">
      <c r="A638" s="179">
        <v>411600</v>
      </c>
      <c r="B638" s="83" t="s">
        <v>349</v>
      </c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431"/>
      <c r="N638" s="91"/>
      <c r="O638" s="91"/>
      <c r="P638" s="91"/>
      <c r="Q638" s="91"/>
      <c r="R638" s="91"/>
      <c r="S638" s="91"/>
      <c r="T638" s="91"/>
      <c r="U638" s="181">
        <f>SUM(C638:T638)</f>
        <v>0</v>
      </c>
    </row>
    <row r="639" spans="1:21" ht="21" customHeight="1">
      <c r="A639" s="179">
        <v>411800</v>
      </c>
      <c r="B639" s="83" t="s">
        <v>287</v>
      </c>
      <c r="C639" s="91">
        <v>14600</v>
      </c>
      <c r="D639" s="91"/>
      <c r="E639" s="91"/>
      <c r="F639" s="91"/>
      <c r="G639" s="91"/>
      <c r="H639" s="91"/>
      <c r="I639" s="91"/>
      <c r="J639" s="91">
        <v>5950</v>
      </c>
      <c r="K639" s="91">
        <v>0</v>
      </c>
      <c r="L639" s="91"/>
      <c r="M639" s="431"/>
      <c r="N639" s="91"/>
      <c r="O639" s="91"/>
      <c r="P639" s="91"/>
      <c r="Q639" s="91"/>
      <c r="R639" s="91"/>
      <c r="S639" s="91"/>
      <c r="T639" s="91"/>
      <c r="U639" s="181">
        <f>SUM(C639:T639)</f>
        <v>20550</v>
      </c>
    </row>
    <row r="640" spans="1:21" ht="21" customHeight="1">
      <c r="A640" s="756" t="s">
        <v>252</v>
      </c>
      <c r="B640" s="757"/>
      <c r="C640" s="181">
        <f>SUM(C628:C639)</f>
        <v>14600</v>
      </c>
      <c r="D640" s="181">
        <f aca="true" t="shared" si="176" ref="D640:L640">SUM(D628:D639)</f>
        <v>0</v>
      </c>
      <c r="E640" s="181">
        <f t="shared" si="176"/>
        <v>0</v>
      </c>
      <c r="F640" s="181">
        <f t="shared" si="176"/>
        <v>0</v>
      </c>
      <c r="G640" s="181">
        <f t="shared" si="176"/>
        <v>0</v>
      </c>
      <c r="H640" s="181">
        <f t="shared" si="176"/>
        <v>0</v>
      </c>
      <c r="I640" s="181">
        <f t="shared" si="176"/>
        <v>0</v>
      </c>
      <c r="J640" s="181">
        <f t="shared" si="176"/>
        <v>5950</v>
      </c>
      <c r="K640" s="181">
        <f t="shared" si="176"/>
        <v>0</v>
      </c>
      <c r="L640" s="181">
        <f t="shared" si="176"/>
        <v>0</v>
      </c>
      <c r="M640" s="433">
        <f>SUM(M628:M639)</f>
        <v>0</v>
      </c>
      <c r="N640" s="181">
        <f>SUM(N628:N639)</f>
        <v>0</v>
      </c>
      <c r="O640" s="181">
        <f>SUM(O628:O639)</f>
        <v>0</v>
      </c>
      <c r="P640" s="181"/>
      <c r="Q640" s="181">
        <f>SUM(Q628:Q639)</f>
        <v>0</v>
      </c>
      <c r="R640" s="181">
        <f>SUM(R628:R639)</f>
        <v>0</v>
      </c>
      <c r="S640" s="181">
        <f>SUM(S628:S639)</f>
        <v>0</v>
      </c>
      <c r="T640" s="181">
        <f>SUM(T628:T639)</f>
        <v>0</v>
      </c>
      <c r="U640" s="181">
        <f>SUM(C640:T640)</f>
        <v>20550</v>
      </c>
    </row>
    <row r="641" spans="1:21" ht="21" customHeight="1">
      <c r="A641" s="758" t="s">
        <v>253</v>
      </c>
      <c r="B641" s="759"/>
      <c r="C641" s="185">
        <f>+C640+C530</f>
        <v>22070</v>
      </c>
      <c r="D641" s="185">
        <f aca="true" t="shared" si="177" ref="D641:U641">+D640+D530</f>
        <v>0</v>
      </c>
      <c r="E641" s="185">
        <f t="shared" si="177"/>
        <v>20000</v>
      </c>
      <c r="F641" s="185">
        <f t="shared" si="177"/>
        <v>0</v>
      </c>
      <c r="G641" s="185">
        <f t="shared" si="177"/>
        <v>0</v>
      </c>
      <c r="H641" s="185">
        <f t="shared" si="177"/>
        <v>0</v>
      </c>
      <c r="I641" s="185">
        <f t="shared" si="177"/>
        <v>0</v>
      </c>
      <c r="J641" s="185">
        <f t="shared" si="177"/>
        <v>92110</v>
      </c>
      <c r="K641" s="185">
        <f t="shared" si="177"/>
        <v>0</v>
      </c>
      <c r="L641" s="185">
        <f t="shared" si="177"/>
        <v>0</v>
      </c>
      <c r="M641" s="185">
        <f t="shared" si="177"/>
        <v>0</v>
      </c>
      <c r="N641" s="185">
        <f t="shared" si="177"/>
        <v>0</v>
      </c>
      <c r="O641" s="185">
        <f t="shared" si="177"/>
        <v>0</v>
      </c>
      <c r="P641" s="185">
        <f t="shared" si="177"/>
        <v>0</v>
      </c>
      <c r="Q641" s="185">
        <f t="shared" si="177"/>
        <v>0</v>
      </c>
      <c r="R641" s="185">
        <f t="shared" si="177"/>
        <v>0</v>
      </c>
      <c r="S641" s="185">
        <f t="shared" si="177"/>
        <v>0</v>
      </c>
      <c r="T641" s="185">
        <f t="shared" si="177"/>
        <v>0</v>
      </c>
      <c r="U641" s="185">
        <f t="shared" si="177"/>
        <v>134180</v>
      </c>
    </row>
    <row r="642" spans="1:21" ht="21" customHeight="1">
      <c r="A642" s="769" t="s">
        <v>216</v>
      </c>
      <c r="B642" s="769"/>
      <c r="C642" s="768" t="s">
        <v>218</v>
      </c>
      <c r="D642" s="768"/>
      <c r="E642" s="546" t="s">
        <v>221</v>
      </c>
      <c r="F642" s="768" t="s">
        <v>223</v>
      </c>
      <c r="G642" s="769"/>
      <c r="H642" s="546" t="s">
        <v>237</v>
      </c>
      <c r="I642" s="546" t="s">
        <v>238</v>
      </c>
      <c r="J642" s="765" t="s">
        <v>239</v>
      </c>
      <c r="K642" s="766"/>
      <c r="L642" s="767"/>
      <c r="M642" s="547" t="s">
        <v>240</v>
      </c>
      <c r="N642" s="765" t="s">
        <v>241</v>
      </c>
      <c r="O642" s="766"/>
      <c r="P642" s="767"/>
      <c r="Q642" s="768" t="s">
        <v>242</v>
      </c>
      <c r="R642" s="769"/>
      <c r="S642" s="546" t="s">
        <v>306</v>
      </c>
      <c r="T642" s="546" t="s">
        <v>243</v>
      </c>
      <c r="U642" s="770" t="s">
        <v>17</v>
      </c>
    </row>
    <row r="643" spans="1:21" ht="21" customHeight="1">
      <c r="A643" s="769" t="s">
        <v>217</v>
      </c>
      <c r="B643" s="769"/>
      <c r="C643" s="546" t="s">
        <v>219</v>
      </c>
      <c r="D643" s="546" t="s">
        <v>220</v>
      </c>
      <c r="E643" s="546" t="s">
        <v>312</v>
      </c>
      <c r="F643" s="546" t="s">
        <v>224</v>
      </c>
      <c r="G643" s="546" t="s">
        <v>225</v>
      </c>
      <c r="H643" s="546" t="s">
        <v>227</v>
      </c>
      <c r="I643" s="546" t="s">
        <v>228</v>
      </c>
      <c r="J643" s="546" t="s">
        <v>229</v>
      </c>
      <c r="K643" s="546" t="s">
        <v>230</v>
      </c>
      <c r="L643" s="546" t="s">
        <v>431</v>
      </c>
      <c r="M643" s="547" t="s">
        <v>231</v>
      </c>
      <c r="N643" s="546" t="s">
        <v>232</v>
      </c>
      <c r="O643" s="546" t="s">
        <v>233</v>
      </c>
      <c r="P643" s="546" t="s">
        <v>314</v>
      </c>
      <c r="Q643" s="546" t="s">
        <v>234</v>
      </c>
      <c r="R643" s="546" t="s">
        <v>235</v>
      </c>
      <c r="S643" s="546" t="s">
        <v>307</v>
      </c>
      <c r="T643" s="546" t="s">
        <v>236</v>
      </c>
      <c r="U643" s="770"/>
    </row>
    <row r="644" spans="1:21" ht="21" customHeight="1">
      <c r="A644" s="771" t="s">
        <v>299</v>
      </c>
      <c r="B644" s="772"/>
      <c r="C644" s="186"/>
      <c r="D644" s="186"/>
      <c r="E644" s="186"/>
      <c r="F644" s="186"/>
      <c r="G644" s="186"/>
      <c r="H644" s="186"/>
      <c r="I644" s="186"/>
      <c r="J644" s="186"/>
      <c r="K644" s="186"/>
      <c r="L644" s="186"/>
      <c r="M644" s="434"/>
      <c r="N644" s="186"/>
      <c r="O644" s="186"/>
      <c r="P644" s="186"/>
      <c r="Q644" s="186"/>
      <c r="R644" s="186"/>
      <c r="S644" s="186"/>
      <c r="T644" s="186"/>
      <c r="U644" s="187">
        <f>SUM(C644:T644)</f>
        <v>0</v>
      </c>
    </row>
    <row r="645" spans="1:21" ht="21" customHeight="1">
      <c r="A645" s="179">
        <v>429000</v>
      </c>
      <c r="B645" s="180" t="s">
        <v>10</v>
      </c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431"/>
      <c r="N645" s="91"/>
      <c r="O645" s="91"/>
      <c r="P645" s="91"/>
      <c r="Q645" s="91"/>
      <c r="R645" s="91"/>
      <c r="S645" s="91"/>
      <c r="T645" s="91"/>
      <c r="U645" s="181">
        <f>SUM(C645:T645)</f>
        <v>0</v>
      </c>
    </row>
    <row r="646" spans="1:21" ht="21" customHeight="1">
      <c r="A646" s="182">
        <v>421000</v>
      </c>
      <c r="B646" s="183" t="s">
        <v>303</v>
      </c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432"/>
      <c r="N646" s="115"/>
      <c r="O646" s="115"/>
      <c r="P646" s="115"/>
      <c r="Q646" s="115"/>
      <c r="R646" s="115"/>
      <c r="S646" s="115"/>
      <c r="T646" s="115"/>
      <c r="U646" s="184">
        <f>SUM(C646:T646)</f>
        <v>0</v>
      </c>
    </row>
    <row r="647" spans="1:21" ht="21" customHeight="1">
      <c r="A647" s="756" t="s">
        <v>252</v>
      </c>
      <c r="B647" s="757"/>
      <c r="C647" s="181">
        <f>SUM(C645:C646)</f>
        <v>0</v>
      </c>
      <c r="D647" s="181">
        <f aca="true" t="shared" si="178" ref="D647:S647">SUM(D645:D646)</f>
        <v>0</v>
      </c>
      <c r="E647" s="181">
        <f t="shared" si="178"/>
        <v>0</v>
      </c>
      <c r="F647" s="181">
        <f t="shared" si="178"/>
        <v>0</v>
      </c>
      <c r="G647" s="181">
        <f t="shared" si="178"/>
        <v>0</v>
      </c>
      <c r="H647" s="181">
        <f t="shared" si="178"/>
        <v>0</v>
      </c>
      <c r="I647" s="181">
        <f t="shared" si="178"/>
        <v>0</v>
      </c>
      <c r="J647" s="181">
        <f t="shared" si="178"/>
        <v>0</v>
      </c>
      <c r="K647" s="181">
        <f t="shared" si="178"/>
        <v>0</v>
      </c>
      <c r="L647" s="181">
        <f t="shared" si="178"/>
        <v>0</v>
      </c>
      <c r="M647" s="433">
        <f t="shared" si="178"/>
        <v>0</v>
      </c>
      <c r="N647" s="181">
        <f t="shared" si="178"/>
        <v>0</v>
      </c>
      <c r="O647" s="181">
        <f t="shared" si="178"/>
        <v>0</v>
      </c>
      <c r="P647" s="181">
        <f t="shared" si="178"/>
        <v>0</v>
      </c>
      <c r="Q647" s="181">
        <f t="shared" si="178"/>
        <v>0</v>
      </c>
      <c r="R647" s="181">
        <f t="shared" si="178"/>
        <v>0</v>
      </c>
      <c r="S647" s="181">
        <f t="shared" si="178"/>
        <v>0</v>
      </c>
      <c r="T647" s="181">
        <f>SUM(T645:T646)</f>
        <v>0</v>
      </c>
      <c r="U647" s="181">
        <f>SUM(C647:T647)</f>
        <v>0</v>
      </c>
    </row>
    <row r="648" spans="1:21" ht="21" customHeight="1">
      <c r="A648" s="758" t="s">
        <v>253</v>
      </c>
      <c r="B648" s="759"/>
      <c r="C648" s="185">
        <f>+C647+C537</f>
        <v>0</v>
      </c>
      <c r="D648" s="185">
        <f aca="true" t="shared" si="179" ref="D648:U648">+D647+D537</f>
        <v>0</v>
      </c>
      <c r="E648" s="185">
        <f t="shared" si="179"/>
        <v>0</v>
      </c>
      <c r="F648" s="185">
        <f t="shared" si="179"/>
        <v>0</v>
      </c>
      <c r="G648" s="185">
        <f t="shared" si="179"/>
        <v>0</v>
      </c>
      <c r="H648" s="185">
        <f t="shared" si="179"/>
        <v>0</v>
      </c>
      <c r="I648" s="185">
        <f t="shared" si="179"/>
        <v>0</v>
      </c>
      <c r="J648" s="185">
        <f t="shared" si="179"/>
        <v>0</v>
      </c>
      <c r="K648" s="185">
        <f t="shared" si="179"/>
        <v>132200</v>
      </c>
      <c r="L648" s="185">
        <f t="shared" si="179"/>
        <v>0</v>
      </c>
      <c r="M648" s="185">
        <f t="shared" si="179"/>
        <v>0</v>
      </c>
      <c r="N648" s="185">
        <f t="shared" si="179"/>
        <v>0</v>
      </c>
      <c r="O648" s="185">
        <f t="shared" si="179"/>
        <v>0</v>
      </c>
      <c r="P648" s="185">
        <f t="shared" si="179"/>
        <v>0</v>
      </c>
      <c r="Q648" s="185">
        <f t="shared" si="179"/>
        <v>0</v>
      </c>
      <c r="R648" s="185">
        <f t="shared" si="179"/>
        <v>0</v>
      </c>
      <c r="S648" s="185">
        <f t="shared" si="179"/>
        <v>0</v>
      </c>
      <c r="T648" s="185">
        <f t="shared" si="179"/>
        <v>0</v>
      </c>
      <c r="U648" s="185">
        <f t="shared" si="179"/>
        <v>132200</v>
      </c>
    </row>
    <row r="649" spans="1:21" ht="21" customHeight="1">
      <c r="A649" s="771" t="s">
        <v>300</v>
      </c>
      <c r="B649" s="772"/>
      <c r="C649" s="186"/>
      <c r="D649" s="186"/>
      <c r="E649" s="186"/>
      <c r="F649" s="186"/>
      <c r="G649" s="186"/>
      <c r="H649" s="186"/>
      <c r="I649" s="186"/>
      <c r="J649" s="186"/>
      <c r="K649" s="186"/>
      <c r="L649" s="186"/>
      <c r="M649" s="434"/>
      <c r="N649" s="186"/>
      <c r="O649" s="186"/>
      <c r="P649" s="186"/>
      <c r="Q649" s="186"/>
      <c r="R649" s="186"/>
      <c r="S649" s="186"/>
      <c r="T649" s="186"/>
      <c r="U649" s="187">
        <f>SUM(C649:T649)</f>
        <v>0</v>
      </c>
    </row>
    <row r="650" spans="1:21" ht="21" customHeight="1">
      <c r="A650" s="179">
        <v>610100</v>
      </c>
      <c r="B650" s="188" t="s">
        <v>302</v>
      </c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431"/>
      <c r="N650" s="91"/>
      <c r="O650" s="91"/>
      <c r="P650" s="91"/>
      <c r="Q650" s="91"/>
      <c r="R650" s="91"/>
      <c r="S650" s="91"/>
      <c r="T650" s="91"/>
      <c r="U650" s="181">
        <f>SUM(C650:T650)</f>
        <v>0</v>
      </c>
    </row>
    <row r="651" spans="1:21" ht="21" customHeight="1">
      <c r="A651" s="179">
        <v>610200</v>
      </c>
      <c r="B651" s="180" t="s">
        <v>288</v>
      </c>
      <c r="C651" s="91"/>
      <c r="D651" s="91"/>
      <c r="E651" s="91"/>
      <c r="F651" s="91"/>
      <c r="G651" s="91"/>
      <c r="H651" s="91">
        <v>0</v>
      </c>
      <c r="I651" s="91"/>
      <c r="J651" s="91"/>
      <c r="K651" s="91"/>
      <c r="L651" s="91"/>
      <c r="M651" s="431"/>
      <c r="N651" s="91"/>
      <c r="O651" s="91"/>
      <c r="P651" s="91"/>
      <c r="Q651" s="91"/>
      <c r="R651" s="91"/>
      <c r="S651" s="91"/>
      <c r="T651" s="91"/>
      <c r="U651" s="181">
        <f>SUM(C651:T651)</f>
        <v>0</v>
      </c>
    </row>
    <row r="652" spans="1:21" ht="21" customHeight="1">
      <c r="A652" s="182">
        <v>610300</v>
      </c>
      <c r="B652" s="183" t="s">
        <v>741</v>
      </c>
      <c r="C652" s="115"/>
      <c r="D652" s="115"/>
      <c r="E652" s="115"/>
      <c r="F652" s="115"/>
      <c r="G652" s="115"/>
      <c r="H652" s="115">
        <v>240000</v>
      </c>
      <c r="I652" s="115"/>
      <c r="J652" s="115"/>
      <c r="K652" s="115"/>
      <c r="L652" s="115"/>
      <c r="M652" s="432"/>
      <c r="N652" s="115"/>
      <c r="O652" s="115"/>
      <c r="P652" s="115"/>
      <c r="Q652" s="115"/>
      <c r="R652" s="115"/>
      <c r="S652" s="115"/>
      <c r="T652" s="115"/>
      <c r="U652" s="184"/>
    </row>
    <row r="653" spans="1:21" ht="21" customHeight="1">
      <c r="A653" s="182">
        <v>610400</v>
      </c>
      <c r="B653" s="183" t="s">
        <v>301</v>
      </c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432"/>
      <c r="N653" s="115"/>
      <c r="O653" s="115"/>
      <c r="P653" s="115"/>
      <c r="Q653" s="115"/>
      <c r="R653" s="115"/>
      <c r="S653" s="115"/>
      <c r="T653" s="115"/>
      <c r="U653" s="184">
        <f>SUM(C653:T653)</f>
        <v>0</v>
      </c>
    </row>
    <row r="654" spans="1:22" ht="21" customHeight="1">
      <c r="A654" s="756" t="s">
        <v>252</v>
      </c>
      <c r="B654" s="757"/>
      <c r="C654" s="181">
        <f aca="true" t="shared" si="180" ref="C654:O654">SUM(C650:C653)</f>
        <v>0</v>
      </c>
      <c r="D654" s="181">
        <f t="shared" si="180"/>
        <v>0</v>
      </c>
      <c r="E654" s="181">
        <f t="shared" si="180"/>
        <v>0</v>
      </c>
      <c r="F654" s="181">
        <f t="shared" si="180"/>
        <v>0</v>
      </c>
      <c r="G654" s="181">
        <f t="shared" si="180"/>
        <v>0</v>
      </c>
      <c r="H654" s="181">
        <f t="shared" si="180"/>
        <v>240000</v>
      </c>
      <c r="I654" s="181">
        <f t="shared" si="180"/>
        <v>0</v>
      </c>
      <c r="J654" s="181">
        <f t="shared" si="180"/>
        <v>0</v>
      </c>
      <c r="K654" s="181">
        <f t="shared" si="180"/>
        <v>0</v>
      </c>
      <c r="L654" s="181">
        <f t="shared" si="180"/>
        <v>0</v>
      </c>
      <c r="M654" s="433">
        <f t="shared" si="180"/>
        <v>0</v>
      </c>
      <c r="N654" s="181">
        <f t="shared" si="180"/>
        <v>0</v>
      </c>
      <c r="O654" s="181">
        <f t="shared" si="180"/>
        <v>0</v>
      </c>
      <c r="P654" s="181"/>
      <c r="Q654" s="181">
        <f>SUM(Q650:Q653)</f>
        <v>0</v>
      </c>
      <c r="R654" s="181">
        <f>SUM(R650:R653)</f>
        <v>0</v>
      </c>
      <c r="S654" s="181">
        <f>SUM(S650:S653)</f>
        <v>0</v>
      </c>
      <c r="T654" s="181">
        <f>SUM(T650:T653)</f>
        <v>0</v>
      </c>
      <c r="U654" s="181">
        <f>SUM(C654:T654)</f>
        <v>240000</v>
      </c>
      <c r="V654" s="177">
        <v>240000</v>
      </c>
    </row>
    <row r="655" spans="1:21" ht="21" customHeight="1">
      <c r="A655" s="758" t="s">
        <v>253</v>
      </c>
      <c r="B655" s="759"/>
      <c r="C655" s="185">
        <f>+C654+C543</f>
        <v>20000</v>
      </c>
      <c r="D655" s="185">
        <f aca="true" t="shared" si="181" ref="D655:U655">+D654+D543</f>
        <v>0</v>
      </c>
      <c r="E655" s="185">
        <f t="shared" si="181"/>
        <v>0</v>
      </c>
      <c r="F655" s="185">
        <f t="shared" si="181"/>
        <v>0</v>
      </c>
      <c r="G655" s="185">
        <f t="shared" si="181"/>
        <v>1842000</v>
      </c>
      <c r="H655" s="185">
        <f t="shared" si="181"/>
        <v>240000</v>
      </c>
      <c r="I655" s="185">
        <f t="shared" si="181"/>
        <v>0</v>
      </c>
      <c r="J655" s="185">
        <f t="shared" si="181"/>
        <v>0</v>
      </c>
      <c r="K655" s="185">
        <f t="shared" si="181"/>
        <v>0</v>
      </c>
      <c r="L655" s="185">
        <f t="shared" si="181"/>
        <v>0</v>
      </c>
      <c r="M655" s="185">
        <f t="shared" si="181"/>
        <v>71000</v>
      </c>
      <c r="N655" s="185">
        <f t="shared" si="181"/>
        <v>0</v>
      </c>
      <c r="O655" s="185">
        <f t="shared" si="181"/>
        <v>0</v>
      </c>
      <c r="P655" s="185">
        <f t="shared" si="181"/>
        <v>0</v>
      </c>
      <c r="Q655" s="185">
        <f t="shared" si="181"/>
        <v>0</v>
      </c>
      <c r="R655" s="185">
        <f t="shared" si="181"/>
        <v>0</v>
      </c>
      <c r="S655" s="185">
        <f t="shared" si="181"/>
        <v>0</v>
      </c>
      <c r="T655" s="185">
        <f t="shared" si="181"/>
        <v>0</v>
      </c>
      <c r="U655" s="185">
        <f t="shared" si="181"/>
        <v>2173000</v>
      </c>
    </row>
    <row r="656" spans="1:21" ht="21" customHeight="1">
      <c r="A656" s="771" t="s">
        <v>304</v>
      </c>
      <c r="B656" s="772"/>
      <c r="C656" s="186"/>
      <c r="D656" s="186"/>
      <c r="E656" s="186"/>
      <c r="F656" s="186"/>
      <c r="G656" s="186"/>
      <c r="H656" s="186"/>
      <c r="I656" s="186"/>
      <c r="J656" s="186"/>
      <c r="K656" s="186"/>
      <c r="L656" s="186"/>
      <c r="M656" s="434"/>
      <c r="N656" s="186"/>
      <c r="O656" s="186"/>
      <c r="P656" s="186"/>
      <c r="Q656" s="186"/>
      <c r="R656" s="186"/>
      <c r="S656" s="186"/>
      <c r="T656" s="186"/>
      <c r="U656" s="187">
        <f>SUM(C656:T656)</f>
        <v>0</v>
      </c>
    </row>
    <row r="657" spans="1:21" ht="21" customHeight="1">
      <c r="A657" s="179">
        <v>551000</v>
      </c>
      <c r="B657" s="180" t="s">
        <v>12</v>
      </c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431"/>
      <c r="N657" s="91"/>
      <c r="O657" s="91"/>
      <c r="P657" s="91"/>
      <c r="Q657" s="91"/>
      <c r="R657" s="91"/>
      <c r="S657" s="91"/>
      <c r="T657" s="91"/>
      <c r="U657" s="181">
        <f>SUM(C657:T657)</f>
        <v>0</v>
      </c>
    </row>
    <row r="658" spans="1:21" ht="21" customHeight="1">
      <c r="A658" s="182">
        <v>510100</v>
      </c>
      <c r="B658" s="183" t="s">
        <v>305</v>
      </c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432"/>
      <c r="N658" s="115"/>
      <c r="O658" s="115"/>
      <c r="P658" s="115"/>
      <c r="Q658" s="115"/>
      <c r="R658" s="115"/>
      <c r="S658" s="115"/>
      <c r="T658" s="115"/>
      <c r="U658" s="184">
        <f>SUM(C658:T658)</f>
        <v>0</v>
      </c>
    </row>
    <row r="659" spans="1:21" ht="21" customHeight="1">
      <c r="A659" s="756" t="s">
        <v>252</v>
      </c>
      <c r="B659" s="757"/>
      <c r="C659" s="181">
        <f>SUM(C657:C658)</f>
        <v>0</v>
      </c>
      <c r="D659" s="181">
        <f aca="true" t="shared" si="182" ref="D659:O659">SUM(D657:D658)</f>
        <v>0</v>
      </c>
      <c r="E659" s="181">
        <f t="shared" si="182"/>
        <v>0</v>
      </c>
      <c r="F659" s="181">
        <f t="shared" si="182"/>
        <v>0</v>
      </c>
      <c r="G659" s="181">
        <f t="shared" si="182"/>
        <v>0</v>
      </c>
      <c r="H659" s="181">
        <f t="shared" si="182"/>
        <v>0</v>
      </c>
      <c r="I659" s="181">
        <f t="shared" si="182"/>
        <v>0</v>
      </c>
      <c r="J659" s="181">
        <f t="shared" si="182"/>
        <v>0</v>
      </c>
      <c r="K659" s="181">
        <f t="shared" si="182"/>
        <v>0</v>
      </c>
      <c r="L659" s="181">
        <f t="shared" si="182"/>
        <v>0</v>
      </c>
      <c r="M659" s="433">
        <f t="shared" si="182"/>
        <v>0</v>
      </c>
      <c r="N659" s="181">
        <f t="shared" si="182"/>
        <v>0</v>
      </c>
      <c r="O659" s="181">
        <f t="shared" si="182"/>
        <v>0</v>
      </c>
      <c r="P659" s="181"/>
      <c r="Q659" s="181">
        <f>SUM(Q657:Q658)</f>
        <v>0</v>
      </c>
      <c r="R659" s="181">
        <f>SUM(R657:R658)</f>
        <v>0</v>
      </c>
      <c r="S659" s="181">
        <f>SUM(S657:S658)</f>
        <v>0</v>
      </c>
      <c r="T659" s="181">
        <f>SUM(T657:T658)</f>
        <v>0</v>
      </c>
      <c r="U659" s="181">
        <f>SUM(C659:T659)</f>
        <v>0</v>
      </c>
    </row>
    <row r="660" spans="1:21" ht="21" customHeight="1">
      <c r="A660" s="758" t="s">
        <v>253</v>
      </c>
      <c r="B660" s="759"/>
      <c r="C660" s="185">
        <f>+C659+C548</f>
        <v>0</v>
      </c>
      <c r="D660" s="185">
        <f aca="true" t="shared" si="183" ref="D660:U660">+D659+D548</f>
        <v>0</v>
      </c>
      <c r="E660" s="185">
        <f t="shared" si="183"/>
        <v>0</v>
      </c>
      <c r="F660" s="185">
        <f t="shared" si="183"/>
        <v>0</v>
      </c>
      <c r="G660" s="185">
        <f t="shared" si="183"/>
        <v>0</v>
      </c>
      <c r="H660" s="185">
        <f t="shared" si="183"/>
        <v>0</v>
      </c>
      <c r="I660" s="185">
        <f t="shared" si="183"/>
        <v>0</v>
      </c>
      <c r="J660" s="185">
        <f t="shared" si="183"/>
        <v>0</v>
      </c>
      <c r="K660" s="185">
        <f t="shared" si="183"/>
        <v>0</v>
      </c>
      <c r="L660" s="185">
        <f t="shared" si="183"/>
        <v>0</v>
      </c>
      <c r="M660" s="185">
        <f t="shared" si="183"/>
        <v>0</v>
      </c>
      <c r="N660" s="185">
        <f t="shared" si="183"/>
        <v>0</v>
      </c>
      <c r="O660" s="185">
        <f t="shared" si="183"/>
        <v>0</v>
      </c>
      <c r="P660" s="185">
        <f t="shared" si="183"/>
        <v>0</v>
      </c>
      <c r="Q660" s="185">
        <f t="shared" si="183"/>
        <v>0</v>
      </c>
      <c r="R660" s="185">
        <f t="shared" si="183"/>
        <v>0</v>
      </c>
      <c r="S660" s="185">
        <f t="shared" si="183"/>
        <v>0</v>
      </c>
      <c r="T660" s="185">
        <f t="shared" si="183"/>
        <v>0</v>
      </c>
      <c r="U660" s="185">
        <f t="shared" si="183"/>
        <v>0</v>
      </c>
    </row>
    <row r="661" spans="1:22" ht="21" customHeight="1">
      <c r="A661" s="760" t="s">
        <v>252</v>
      </c>
      <c r="B661" s="761"/>
      <c r="C661" s="56">
        <f aca="true" t="shared" si="184" ref="C661:T661">SUM(C565,C573,C585,C594,C601,C618,C625,C640,C647,C654,C659)</f>
        <v>790192.53</v>
      </c>
      <c r="D661" s="56">
        <f t="shared" si="184"/>
        <v>128145</v>
      </c>
      <c r="E661" s="56">
        <f t="shared" si="184"/>
        <v>0</v>
      </c>
      <c r="F661" s="56">
        <f t="shared" si="184"/>
        <v>900</v>
      </c>
      <c r="G661" s="56">
        <f t="shared" si="184"/>
        <v>0</v>
      </c>
      <c r="H661" s="56">
        <f t="shared" si="184"/>
        <v>306000</v>
      </c>
      <c r="I661" s="56">
        <f t="shared" si="184"/>
        <v>0</v>
      </c>
      <c r="J661" s="56">
        <f t="shared" si="184"/>
        <v>66576</v>
      </c>
      <c r="K661" s="56">
        <f t="shared" si="184"/>
        <v>0</v>
      </c>
      <c r="L661" s="56">
        <f t="shared" si="184"/>
        <v>59031.25</v>
      </c>
      <c r="M661" s="435">
        <f t="shared" si="184"/>
        <v>33140</v>
      </c>
      <c r="N661" s="56">
        <f t="shared" si="184"/>
        <v>0</v>
      </c>
      <c r="O661" s="56">
        <f t="shared" si="184"/>
        <v>0</v>
      </c>
      <c r="P661" s="56">
        <f t="shared" si="184"/>
        <v>9750</v>
      </c>
      <c r="Q661" s="56">
        <f t="shared" si="184"/>
        <v>0</v>
      </c>
      <c r="R661" s="56">
        <f t="shared" si="184"/>
        <v>0</v>
      </c>
      <c r="S661" s="56">
        <f t="shared" si="184"/>
        <v>128397.03</v>
      </c>
      <c r="T661" s="56">
        <f t="shared" si="184"/>
        <v>14449</v>
      </c>
      <c r="U661" s="56">
        <f>SUM(C661:T661)</f>
        <v>1536580.81</v>
      </c>
      <c r="V661" s="177">
        <v>1536580.81</v>
      </c>
    </row>
    <row r="662" spans="1:22" ht="21" customHeight="1">
      <c r="A662" s="760" t="s">
        <v>253</v>
      </c>
      <c r="B662" s="761"/>
      <c r="C662" s="56">
        <f>SUM(C566,C574,C586,C595,C602,C619,C626,C641,C648,C655,C660)</f>
        <v>4639310.21</v>
      </c>
      <c r="D662" s="56">
        <f aca="true" t="shared" si="185" ref="D662:T662">SUM(D566,D574,D586,D595,D602,D619,D626,D641,D648,D655,D660)</f>
        <v>804528.5800000001</v>
      </c>
      <c r="E662" s="56">
        <f t="shared" si="185"/>
        <v>52240</v>
      </c>
      <c r="F662" s="56">
        <f t="shared" si="185"/>
        <v>43836</v>
      </c>
      <c r="G662" s="56">
        <f t="shared" si="185"/>
        <v>2365200</v>
      </c>
      <c r="H662" s="56">
        <f t="shared" si="185"/>
        <v>411785</v>
      </c>
      <c r="I662" s="56">
        <f t="shared" si="185"/>
        <v>0</v>
      </c>
      <c r="J662" s="56">
        <f t="shared" si="185"/>
        <v>531445</v>
      </c>
      <c r="K662" s="56">
        <f t="shared" si="185"/>
        <v>132200</v>
      </c>
      <c r="L662" s="56">
        <f t="shared" si="185"/>
        <v>311830</v>
      </c>
      <c r="M662" s="435">
        <f t="shared" si="185"/>
        <v>204305</v>
      </c>
      <c r="N662" s="56">
        <f t="shared" si="185"/>
        <v>10000</v>
      </c>
      <c r="O662" s="56">
        <f t="shared" si="185"/>
        <v>163890</v>
      </c>
      <c r="P662" s="56">
        <f t="shared" si="185"/>
        <v>9750</v>
      </c>
      <c r="Q662" s="56">
        <f t="shared" si="185"/>
        <v>0</v>
      </c>
      <c r="R662" s="56">
        <f t="shared" si="185"/>
        <v>0</v>
      </c>
      <c r="S662" s="56">
        <f t="shared" si="185"/>
        <v>388326.15</v>
      </c>
      <c r="T662" s="56">
        <f t="shared" si="185"/>
        <v>611163.61</v>
      </c>
      <c r="U662" s="56">
        <f>SUM(C662:T662)</f>
        <v>10679809.549999999</v>
      </c>
      <c r="V662" s="177">
        <f>+U550</f>
        <v>9143228.739999998</v>
      </c>
    </row>
    <row r="663" ht="21" customHeight="1">
      <c r="V663" s="177">
        <f>+V661+V662</f>
        <v>10679809.549999999</v>
      </c>
    </row>
    <row r="664" ht="21" customHeight="1">
      <c r="V664" s="177">
        <f>+V663-U662</f>
        <v>0</v>
      </c>
    </row>
  </sheetData>
  <sheetProtection/>
  <mergeCells count="436">
    <mergeCell ref="A323:B323"/>
    <mergeCell ref="A326:B326"/>
    <mergeCell ref="A327:B327"/>
    <mergeCell ref="A328:B328"/>
    <mergeCell ref="A329:B329"/>
    <mergeCell ref="Q310:R310"/>
    <mergeCell ref="U310:U311"/>
    <mergeCell ref="A311:B311"/>
    <mergeCell ref="A312:B312"/>
    <mergeCell ref="A315:B315"/>
    <mergeCell ref="A316:B316"/>
    <mergeCell ref="A317:B317"/>
    <mergeCell ref="A321:B321"/>
    <mergeCell ref="A322:B322"/>
    <mergeCell ref="A295:B295"/>
    <mergeCell ref="A296:B296"/>
    <mergeCell ref="A308:B308"/>
    <mergeCell ref="A309:B309"/>
    <mergeCell ref="A310:B310"/>
    <mergeCell ref="C310:D310"/>
    <mergeCell ref="F310:G310"/>
    <mergeCell ref="J310:L310"/>
    <mergeCell ref="N310:P310"/>
    <mergeCell ref="J280:L280"/>
    <mergeCell ref="N280:P280"/>
    <mergeCell ref="Q280:R280"/>
    <mergeCell ref="U280:U281"/>
    <mergeCell ref="A281:B281"/>
    <mergeCell ref="A287:B287"/>
    <mergeCell ref="A288:B288"/>
    <mergeCell ref="A289:B289"/>
    <mergeCell ref="A294:B294"/>
    <mergeCell ref="A263:B263"/>
    <mergeCell ref="A264:B264"/>
    <mergeCell ref="A265:B265"/>
    <mergeCell ref="A270:B270"/>
    <mergeCell ref="A271:B271"/>
    <mergeCell ref="A272:B272"/>
    <mergeCell ref="A280:B280"/>
    <mergeCell ref="C280:D280"/>
    <mergeCell ref="F280:G280"/>
    <mergeCell ref="F250:G250"/>
    <mergeCell ref="J250:L250"/>
    <mergeCell ref="N250:P250"/>
    <mergeCell ref="Q250:R250"/>
    <mergeCell ref="U250:U251"/>
    <mergeCell ref="A251:B251"/>
    <mergeCell ref="A254:B254"/>
    <mergeCell ref="A255:B255"/>
    <mergeCell ref="A256:B256"/>
    <mergeCell ref="A225:B225"/>
    <mergeCell ref="A234:B234"/>
    <mergeCell ref="A235:B235"/>
    <mergeCell ref="A236:B236"/>
    <mergeCell ref="A242:B242"/>
    <mergeCell ref="A243:B243"/>
    <mergeCell ref="A244:B244"/>
    <mergeCell ref="A250:B250"/>
    <mergeCell ref="C250:D250"/>
    <mergeCell ref="A220:L220"/>
    <mergeCell ref="M220:U220"/>
    <mergeCell ref="A221:L221"/>
    <mergeCell ref="M221:U221"/>
    <mergeCell ref="A222:L222"/>
    <mergeCell ref="M222:U222"/>
    <mergeCell ref="A223:B223"/>
    <mergeCell ref="C223:D223"/>
    <mergeCell ref="F223:G223"/>
    <mergeCell ref="J223:L223"/>
    <mergeCell ref="N223:P223"/>
    <mergeCell ref="Q223:R223"/>
    <mergeCell ref="U223:U224"/>
    <mergeCell ref="A224:B224"/>
    <mergeCell ref="A110:L110"/>
    <mergeCell ref="M110:U110"/>
    <mergeCell ref="M1:S1"/>
    <mergeCell ref="M2:S2"/>
    <mergeCell ref="A3:B3"/>
    <mergeCell ref="C3:D3"/>
    <mergeCell ref="F3:G3"/>
    <mergeCell ref="J3:L3"/>
    <mergeCell ref="N3:P3"/>
    <mergeCell ref="Q3:R3"/>
    <mergeCell ref="A1:L1"/>
    <mergeCell ref="A2:L2"/>
    <mergeCell ref="A16:B16"/>
    <mergeCell ref="A22:B22"/>
    <mergeCell ref="A23:B23"/>
    <mergeCell ref="A24:B24"/>
    <mergeCell ref="A30:B30"/>
    <mergeCell ref="U3:U4"/>
    <mergeCell ref="A4:B4"/>
    <mergeCell ref="A5:B5"/>
    <mergeCell ref="A14:B14"/>
    <mergeCell ref="A15:B15"/>
    <mergeCell ref="A43:B43"/>
    <mergeCell ref="A44:B44"/>
    <mergeCell ref="A45:B45"/>
    <mergeCell ref="A50:B50"/>
    <mergeCell ref="A51:B51"/>
    <mergeCell ref="U30:U31"/>
    <mergeCell ref="A31:B31"/>
    <mergeCell ref="A34:B34"/>
    <mergeCell ref="A35:B35"/>
    <mergeCell ref="A36:B36"/>
    <mergeCell ref="C30:D30"/>
    <mergeCell ref="F30:G30"/>
    <mergeCell ref="J30:L30"/>
    <mergeCell ref="N30:P30"/>
    <mergeCell ref="Q30:R30"/>
    <mergeCell ref="N60:P60"/>
    <mergeCell ref="Q60:R60"/>
    <mergeCell ref="U60:U61"/>
    <mergeCell ref="A61:B61"/>
    <mergeCell ref="A67:B67"/>
    <mergeCell ref="A52:B52"/>
    <mergeCell ref="A60:B60"/>
    <mergeCell ref="C60:D60"/>
    <mergeCell ref="F60:G60"/>
    <mergeCell ref="J60:L60"/>
    <mergeCell ref="A89:B89"/>
    <mergeCell ref="A90:B90"/>
    <mergeCell ref="A68:B68"/>
    <mergeCell ref="Q90:R90"/>
    <mergeCell ref="U90:U91"/>
    <mergeCell ref="A91:B91"/>
    <mergeCell ref="C90:D90"/>
    <mergeCell ref="F90:G90"/>
    <mergeCell ref="A69:B69"/>
    <mergeCell ref="A74:B74"/>
    <mergeCell ref="A75:B75"/>
    <mergeCell ref="A76:B76"/>
    <mergeCell ref="A88:B88"/>
    <mergeCell ref="A108:B108"/>
    <mergeCell ref="A109:B109"/>
    <mergeCell ref="J90:L90"/>
    <mergeCell ref="N90:P90"/>
    <mergeCell ref="A101:B101"/>
    <mergeCell ref="A102:B102"/>
    <mergeCell ref="A103:B103"/>
    <mergeCell ref="A106:B106"/>
    <mergeCell ref="A107:B107"/>
    <mergeCell ref="A95:B95"/>
    <mergeCell ref="A96:B96"/>
    <mergeCell ref="A97:B97"/>
    <mergeCell ref="A92:B92"/>
    <mergeCell ref="U113:U114"/>
    <mergeCell ref="A114:B114"/>
    <mergeCell ref="A115:B115"/>
    <mergeCell ref="A124:B124"/>
    <mergeCell ref="A125:B125"/>
    <mergeCell ref="U140:U141"/>
    <mergeCell ref="A141:B141"/>
    <mergeCell ref="A111:L111"/>
    <mergeCell ref="A112:L112"/>
    <mergeCell ref="A113:B113"/>
    <mergeCell ref="C113:D113"/>
    <mergeCell ref="F113:G113"/>
    <mergeCell ref="J113:L113"/>
    <mergeCell ref="N113:P113"/>
    <mergeCell ref="Q113:R113"/>
    <mergeCell ref="M112:U112"/>
    <mergeCell ref="M111:U111"/>
    <mergeCell ref="F140:G140"/>
    <mergeCell ref="J140:L140"/>
    <mergeCell ref="N140:P140"/>
    <mergeCell ref="Q140:R140"/>
    <mergeCell ref="C140:D140"/>
    <mergeCell ref="A162:B162"/>
    <mergeCell ref="A126:B126"/>
    <mergeCell ref="A132:B132"/>
    <mergeCell ref="A133:B133"/>
    <mergeCell ref="A134:B134"/>
    <mergeCell ref="A140:B140"/>
    <mergeCell ref="A153:B153"/>
    <mergeCell ref="A154:B154"/>
    <mergeCell ref="A155:B155"/>
    <mergeCell ref="A160:B160"/>
    <mergeCell ref="A161:B161"/>
    <mergeCell ref="A144:B144"/>
    <mergeCell ref="A145:B145"/>
    <mergeCell ref="A146:B146"/>
    <mergeCell ref="A178:B178"/>
    <mergeCell ref="A179:B179"/>
    <mergeCell ref="A184:B184"/>
    <mergeCell ref="A185:B185"/>
    <mergeCell ref="A186:B186"/>
    <mergeCell ref="N170:P170"/>
    <mergeCell ref="Q170:R170"/>
    <mergeCell ref="U170:U171"/>
    <mergeCell ref="A171:B171"/>
    <mergeCell ref="A177:B177"/>
    <mergeCell ref="A170:B170"/>
    <mergeCell ref="C170:D170"/>
    <mergeCell ref="F170:G170"/>
    <mergeCell ref="J170:L170"/>
    <mergeCell ref="J200:L200"/>
    <mergeCell ref="N200:P200"/>
    <mergeCell ref="Q200:R200"/>
    <mergeCell ref="U200:U201"/>
    <mergeCell ref="A201:B201"/>
    <mergeCell ref="A198:B198"/>
    <mergeCell ref="A199:B199"/>
    <mergeCell ref="A200:B200"/>
    <mergeCell ref="C200:D200"/>
    <mergeCell ref="F200:G200"/>
    <mergeCell ref="A219:B219"/>
    <mergeCell ref="A212:B212"/>
    <mergeCell ref="A213:B213"/>
    <mergeCell ref="A216:B216"/>
    <mergeCell ref="A217:B217"/>
    <mergeCell ref="A218:B218"/>
    <mergeCell ref="A202:B202"/>
    <mergeCell ref="A205:B205"/>
    <mergeCell ref="A206:B206"/>
    <mergeCell ref="A207:B207"/>
    <mergeCell ref="A211:B211"/>
    <mergeCell ref="A330:L330"/>
    <mergeCell ref="M330:U330"/>
    <mergeCell ref="A331:L331"/>
    <mergeCell ref="M331:U331"/>
    <mergeCell ref="A332:L332"/>
    <mergeCell ref="M332:U332"/>
    <mergeCell ref="A333:B333"/>
    <mergeCell ref="C333:D333"/>
    <mergeCell ref="F333:G333"/>
    <mergeCell ref="J333:L333"/>
    <mergeCell ref="N333:P333"/>
    <mergeCell ref="Q333:R333"/>
    <mergeCell ref="U333:U334"/>
    <mergeCell ref="A334:B334"/>
    <mergeCell ref="A335:B335"/>
    <mergeCell ref="A344:B344"/>
    <mergeCell ref="A345:B345"/>
    <mergeCell ref="A346:B346"/>
    <mergeCell ref="A352:B352"/>
    <mergeCell ref="A353:B353"/>
    <mergeCell ref="A354:B354"/>
    <mergeCell ref="A360:B360"/>
    <mergeCell ref="C360:D360"/>
    <mergeCell ref="F360:G360"/>
    <mergeCell ref="J360:L360"/>
    <mergeCell ref="N360:P360"/>
    <mergeCell ref="Q360:R360"/>
    <mergeCell ref="U360:U361"/>
    <mergeCell ref="A361:B361"/>
    <mergeCell ref="A364:B364"/>
    <mergeCell ref="A365:B365"/>
    <mergeCell ref="A366:B366"/>
    <mergeCell ref="A373:B373"/>
    <mergeCell ref="A374:B374"/>
    <mergeCell ref="A375:B375"/>
    <mergeCell ref="A380:B380"/>
    <mergeCell ref="A381:B381"/>
    <mergeCell ref="A382:B382"/>
    <mergeCell ref="A390:B390"/>
    <mergeCell ref="C390:D390"/>
    <mergeCell ref="F390:G390"/>
    <mergeCell ref="J390:L390"/>
    <mergeCell ref="N390:P390"/>
    <mergeCell ref="Q390:R390"/>
    <mergeCell ref="U390:U391"/>
    <mergeCell ref="A391:B391"/>
    <mergeCell ref="A397:B397"/>
    <mergeCell ref="A398:B398"/>
    <mergeCell ref="A399:B399"/>
    <mergeCell ref="A404:B404"/>
    <mergeCell ref="A405:B405"/>
    <mergeCell ref="A406:B406"/>
    <mergeCell ref="A418:B418"/>
    <mergeCell ref="A419:B419"/>
    <mergeCell ref="A420:B420"/>
    <mergeCell ref="C420:D420"/>
    <mergeCell ref="F420:G420"/>
    <mergeCell ref="J420:L420"/>
    <mergeCell ref="N420:P420"/>
    <mergeCell ref="A433:B433"/>
    <mergeCell ref="A436:B436"/>
    <mergeCell ref="A437:B437"/>
    <mergeCell ref="A438:B438"/>
    <mergeCell ref="A439:B439"/>
    <mergeCell ref="Q420:R420"/>
    <mergeCell ref="U420:U421"/>
    <mergeCell ref="A421:B421"/>
    <mergeCell ref="A422:B422"/>
    <mergeCell ref="A425:B425"/>
    <mergeCell ref="A426:B426"/>
    <mergeCell ref="A427:B427"/>
    <mergeCell ref="A431:B431"/>
    <mergeCell ref="A432:B432"/>
    <mergeCell ref="A440:L440"/>
    <mergeCell ref="M440:U440"/>
    <mergeCell ref="A441:L441"/>
    <mergeCell ref="M441:U441"/>
    <mergeCell ref="A442:L442"/>
    <mergeCell ref="M442:U442"/>
    <mergeCell ref="A443:B443"/>
    <mergeCell ref="C443:D443"/>
    <mergeCell ref="F443:G443"/>
    <mergeCell ref="J443:L443"/>
    <mergeCell ref="N443:P443"/>
    <mergeCell ref="Q443:R443"/>
    <mergeCell ref="U443:U444"/>
    <mergeCell ref="A444:B444"/>
    <mergeCell ref="A445:B445"/>
    <mergeCell ref="A454:B454"/>
    <mergeCell ref="A455:B455"/>
    <mergeCell ref="A456:B456"/>
    <mergeCell ref="A462:B462"/>
    <mergeCell ref="A463:B463"/>
    <mergeCell ref="A464:B464"/>
    <mergeCell ref="A470:B470"/>
    <mergeCell ref="C470:D470"/>
    <mergeCell ref="F470:G470"/>
    <mergeCell ref="J470:L470"/>
    <mergeCell ref="N470:P470"/>
    <mergeCell ref="Q470:R470"/>
    <mergeCell ref="U470:U471"/>
    <mergeCell ref="A471:B471"/>
    <mergeCell ref="A474:B474"/>
    <mergeCell ref="A475:B475"/>
    <mergeCell ref="A476:B476"/>
    <mergeCell ref="A483:B483"/>
    <mergeCell ref="A484:B484"/>
    <mergeCell ref="A485:B485"/>
    <mergeCell ref="A490:B490"/>
    <mergeCell ref="A491:B491"/>
    <mergeCell ref="A492:B492"/>
    <mergeCell ref="A500:B500"/>
    <mergeCell ref="C500:D500"/>
    <mergeCell ref="F500:G500"/>
    <mergeCell ref="J500:L500"/>
    <mergeCell ref="N500:P500"/>
    <mergeCell ref="Q500:R500"/>
    <mergeCell ref="U500:U501"/>
    <mergeCell ref="A501:B501"/>
    <mergeCell ref="A507:B507"/>
    <mergeCell ref="A508:B508"/>
    <mergeCell ref="A509:B509"/>
    <mergeCell ref="A514:B514"/>
    <mergeCell ref="A515:B515"/>
    <mergeCell ref="A516:B516"/>
    <mergeCell ref="A529:B529"/>
    <mergeCell ref="A530:B530"/>
    <mergeCell ref="A531:B531"/>
    <mergeCell ref="C531:D531"/>
    <mergeCell ref="F531:G531"/>
    <mergeCell ref="J531:L531"/>
    <mergeCell ref="N531:P531"/>
    <mergeCell ref="A544:B544"/>
    <mergeCell ref="A547:B547"/>
    <mergeCell ref="A548:B548"/>
    <mergeCell ref="A549:B549"/>
    <mergeCell ref="A550:B550"/>
    <mergeCell ref="Q531:R531"/>
    <mergeCell ref="U531:U532"/>
    <mergeCell ref="A532:B532"/>
    <mergeCell ref="A533:B533"/>
    <mergeCell ref="A536:B536"/>
    <mergeCell ref="A537:B537"/>
    <mergeCell ref="A538:B538"/>
    <mergeCell ref="A542:B542"/>
    <mergeCell ref="A543:B543"/>
    <mergeCell ref="A551:L551"/>
    <mergeCell ref="A552:L552"/>
    <mergeCell ref="A553:L553"/>
    <mergeCell ref="A554:B554"/>
    <mergeCell ref="C554:D554"/>
    <mergeCell ref="F554:G554"/>
    <mergeCell ref="J554:L554"/>
    <mergeCell ref="A555:B555"/>
    <mergeCell ref="A556:B556"/>
    <mergeCell ref="A565:B565"/>
    <mergeCell ref="A566:B566"/>
    <mergeCell ref="A567:B567"/>
    <mergeCell ref="A573:B573"/>
    <mergeCell ref="A574:B574"/>
    <mergeCell ref="A575:B575"/>
    <mergeCell ref="A581:B581"/>
    <mergeCell ref="C581:D581"/>
    <mergeCell ref="F581:G581"/>
    <mergeCell ref="J581:L581"/>
    <mergeCell ref="A582:B582"/>
    <mergeCell ref="A585:B585"/>
    <mergeCell ref="A586:B586"/>
    <mergeCell ref="A587:B587"/>
    <mergeCell ref="A594:B594"/>
    <mergeCell ref="A595:B595"/>
    <mergeCell ref="A596:B596"/>
    <mergeCell ref="A601:B601"/>
    <mergeCell ref="C642:D642"/>
    <mergeCell ref="F642:G642"/>
    <mergeCell ref="A602:B602"/>
    <mergeCell ref="A603:B603"/>
    <mergeCell ref="A611:B611"/>
    <mergeCell ref="C611:D611"/>
    <mergeCell ref="F611:G611"/>
    <mergeCell ref="J611:L611"/>
    <mergeCell ref="A612:B612"/>
    <mergeCell ref="A618:B618"/>
    <mergeCell ref="A619:B619"/>
    <mergeCell ref="A649:B649"/>
    <mergeCell ref="A654:B654"/>
    <mergeCell ref="A655:B655"/>
    <mergeCell ref="A656:B656"/>
    <mergeCell ref="A620:B620"/>
    <mergeCell ref="A625:B625"/>
    <mergeCell ref="A626:B626"/>
    <mergeCell ref="A627:B627"/>
    <mergeCell ref="A640:B640"/>
    <mergeCell ref="A641:B641"/>
    <mergeCell ref="A642:B642"/>
    <mergeCell ref="A659:B659"/>
    <mergeCell ref="A660:B660"/>
    <mergeCell ref="A661:B661"/>
    <mergeCell ref="A662:B662"/>
    <mergeCell ref="M551:U551"/>
    <mergeCell ref="M552:U552"/>
    <mergeCell ref="M553:U553"/>
    <mergeCell ref="N554:P554"/>
    <mergeCell ref="Q554:R554"/>
    <mergeCell ref="U554:U555"/>
    <mergeCell ref="N581:P581"/>
    <mergeCell ref="Q581:R581"/>
    <mergeCell ref="U581:U582"/>
    <mergeCell ref="N611:P611"/>
    <mergeCell ref="Q611:R611"/>
    <mergeCell ref="U611:U612"/>
    <mergeCell ref="N642:P642"/>
    <mergeCell ref="Q642:R642"/>
    <mergeCell ref="U642:U643"/>
    <mergeCell ref="J642:L642"/>
    <mergeCell ref="A643:B643"/>
    <mergeCell ref="A644:B644"/>
    <mergeCell ref="A647:B647"/>
    <mergeCell ref="A648:B648"/>
  </mergeCells>
  <printOptions/>
  <pageMargins left="0.1968503937007874" right="0.3937007874015748" top="0.1968503937007874" bottom="0.3937007874015748" header="0.6299212598425197" footer="0.4330708661417323"/>
  <pageSetup horizontalDpi="600" verticalDpi="600" orientation="landscape" pageOrder="overThenDown" paperSize="9" scale="80" r:id="rId1"/>
  <rowBreaks count="18" manualBreakCount="18">
    <brk id="139" max="20" man="1"/>
    <brk id="169" max="20" man="1"/>
    <brk id="199" max="20" man="1"/>
    <brk id="219" max="20" man="1"/>
    <brk id="249" max="20" man="1"/>
    <brk id="279" max="20" man="1"/>
    <brk id="309" max="20" man="1"/>
    <brk id="329" max="20" man="1"/>
    <brk id="359" max="20" man="1"/>
    <brk id="389" max="20" man="1"/>
    <brk id="419" max="20" man="1"/>
    <brk id="439" max="20" man="1"/>
    <brk id="469" max="20" man="1"/>
    <brk id="499" max="20" man="1"/>
    <brk id="530" max="20" man="1"/>
    <brk id="550" max="20" man="1"/>
    <brk id="580" max="20" man="1"/>
    <brk id="610" max="20" man="1"/>
  </rowBreaks>
  <colBreaks count="1" manualBreakCount="1">
    <brk id="12" max="66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W87"/>
  <sheetViews>
    <sheetView view="pageBreakPreview" zoomScale="120" zoomScaleSheetLayoutView="120" zoomScalePageLayoutView="0" workbookViewId="0" topLeftCell="G63">
      <selection activeCell="P74" sqref="P74"/>
    </sheetView>
  </sheetViews>
  <sheetFormatPr defaultColWidth="9.140625" defaultRowHeight="12.75"/>
  <cols>
    <col min="1" max="1" width="10.00390625" style="57" customWidth="1"/>
    <col min="2" max="2" width="7.57421875" style="28" customWidth="1"/>
    <col min="3" max="3" width="5.28125" style="28" hidden="1" customWidth="1"/>
    <col min="4" max="4" width="6.140625" style="28" hidden="1" customWidth="1"/>
    <col min="5" max="5" width="6.421875" style="28" hidden="1" customWidth="1"/>
    <col min="6" max="6" width="7.7109375" style="28" customWidth="1"/>
    <col min="7" max="7" width="6.140625" style="28" customWidth="1"/>
    <col min="8" max="8" width="5.421875" style="28" customWidth="1"/>
    <col min="9" max="9" width="9.140625" style="28" customWidth="1"/>
    <col min="10" max="11" width="6.00390625" style="28" customWidth="1"/>
    <col min="12" max="13" width="9.28125" style="28" customWidth="1"/>
    <col min="14" max="14" width="4.8515625" style="28" customWidth="1"/>
    <col min="15" max="15" width="5.7109375" style="28" customWidth="1"/>
    <col min="16" max="16" width="4.8515625" style="28" customWidth="1"/>
    <col min="17" max="17" width="5.00390625" style="28" customWidth="1"/>
    <col min="18" max="18" width="5.140625" style="28" customWidth="1"/>
    <col min="19" max="19" width="5.00390625" style="28" customWidth="1"/>
    <col min="20" max="20" width="9.8515625" style="28" customWidth="1"/>
    <col min="21" max="21" width="7.57421875" style="28" hidden="1" customWidth="1"/>
    <col min="22" max="22" width="9.57421875" style="28" customWidth="1"/>
    <col min="23" max="23" width="13.421875" style="0" bestFit="1" customWidth="1"/>
  </cols>
  <sheetData>
    <row r="1" spans="1:22" ht="13.5">
      <c r="A1" s="796" t="s">
        <v>214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6"/>
      <c r="T1" s="796"/>
      <c r="U1" s="796"/>
      <c r="V1" s="796"/>
    </row>
    <row r="2" spans="1:22" ht="13.5">
      <c r="A2" s="796" t="s">
        <v>308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</row>
    <row r="3" spans="1:22" ht="13.5">
      <c r="A3" s="797" t="s">
        <v>616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</row>
    <row r="4" spans="1:22" ht="13.5">
      <c r="A4" s="798" t="s">
        <v>216</v>
      </c>
      <c r="B4" s="798"/>
      <c r="C4" s="799" t="s">
        <v>218</v>
      </c>
      <c r="D4" s="799"/>
      <c r="E4" s="251" t="s">
        <v>221</v>
      </c>
      <c r="F4" s="799" t="s">
        <v>223</v>
      </c>
      <c r="G4" s="798"/>
      <c r="H4" s="799" t="s">
        <v>237</v>
      </c>
      <c r="I4" s="798"/>
      <c r="J4" s="251" t="s">
        <v>238</v>
      </c>
      <c r="K4" s="800" t="s">
        <v>239</v>
      </c>
      <c r="L4" s="801"/>
      <c r="M4" s="802"/>
      <c r="N4" s="251" t="s">
        <v>240</v>
      </c>
      <c r="O4" s="800" t="s">
        <v>241</v>
      </c>
      <c r="P4" s="801"/>
      <c r="Q4" s="802"/>
      <c r="R4" s="799" t="s">
        <v>242</v>
      </c>
      <c r="S4" s="798"/>
      <c r="T4" s="251" t="s">
        <v>306</v>
      </c>
      <c r="U4" s="251" t="s">
        <v>243</v>
      </c>
      <c r="V4" s="803" t="s">
        <v>17</v>
      </c>
    </row>
    <row r="5" spans="1:22" ht="13.5">
      <c r="A5" s="798" t="s">
        <v>217</v>
      </c>
      <c r="B5" s="798"/>
      <c r="C5" s="251" t="s">
        <v>219</v>
      </c>
      <c r="D5" s="251" t="s">
        <v>220</v>
      </c>
      <c r="E5" s="251" t="s">
        <v>222</v>
      </c>
      <c r="F5" s="251" t="s">
        <v>224</v>
      </c>
      <c r="G5" s="251" t="s">
        <v>225</v>
      </c>
      <c r="H5" s="251" t="s">
        <v>226</v>
      </c>
      <c r="I5" s="251" t="s">
        <v>227</v>
      </c>
      <c r="J5" s="251" t="s">
        <v>228</v>
      </c>
      <c r="K5" s="251" t="s">
        <v>229</v>
      </c>
      <c r="L5" s="251" t="s">
        <v>230</v>
      </c>
      <c r="M5" s="251" t="s">
        <v>431</v>
      </c>
      <c r="N5" s="251" t="s">
        <v>231</v>
      </c>
      <c r="O5" s="251" t="s">
        <v>232</v>
      </c>
      <c r="P5" s="251" t="s">
        <v>233</v>
      </c>
      <c r="Q5" s="251" t="s">
        <v>314</v>
      </c>
      <c r="R5" s="251" t="s">
        <v>234</v>
      </c>
      <c r="S5" s="251" t="s">
        <v>235</v>
      </c>
      <c r="T5" s="251" t="s">
        <v>307</v>
      </c>
      <c r="U5" s="251" t="s">
        <v>236</v>
      </c>
      <c r="V5" s="803"/>
    </row>
    <row r="6" spans="1:22" ht="13.5">
      <c r="A6" s="790" t="s">
        <v>290</v>
      </c>
      <c r="B6" s="791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2"/>
      <c r="V6" s="62">
        <f>SUM(C6:U6)</f>
        <v>0</v>
      </c>
    </row>
    <row r="7" spans="1:22" ht="13.5">
      <c r="A7" s="792" t="s">
        <v>253</v>
      </c>
      <c r="B7" s="793"/>
      <c r="C7" s="60">
        <f>SUM(C6)</f>
        <v>0</v>
      </c>
      <c r="D7" s="60">
        <f aca="true" t="shared" si="0" ref="D7:U7">SUM(D6)</f>
        <v>0</v>
      </c>
      <c r="E7" s="60">
        <f t="shared" si="0"/>
        <v>0</v>
      </c>
      <c r="F7" s="60">
        <f t="shared" si="0"/>
        <v>0</v>
      </c>
      <c r="G7" s="60">
        <f t="shared" si="0"/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60">
        <f t="shared" si="0"/>
        <v>0</v>
      </c>
      <c r="O7" s="60">
        <f t="shared" si="0"/>
        <v>0</v>
      </c>
      <c r="P7" s="60">
        <f t="shared" si="0"/>
        <v>0</v>
      </c>
      <c r="Q7" s="60">
        <f t="shared" si="0"/>
        <v>0</v>
      </c>
      <c r="R7" s="60">
        <f t="shared" si="0"/>
        <v>0</v>
      </c>
      <c r="S7" s="60">
        <f t="shared" si="0"/>
        <v>0</v>
      </c>
      <c r="T7" s="60">
        <f t="shared" si="0"/>
        <v>0</v>
      </c>
      <c r="U7" s="60">
        <f t="shared" si="0"/>
        <v>0</v>
      </c>
      <c r="V7" s="60">
        <f>SUM(V6)</f>
        <v>0</v>
      </c>
    </row>
    <row r="8" spans="1:22" ht="13.5">
      <c r="A8" s="790" t="s">
        <v>291</v>
      </c>
      <c r="B8" s="79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>
        <f>SUM(C8:U8)</f>
        <v>0</v>
      </c>
    </row>
    <row r="9" spans="1:22" ht="13.5">
      <c r="A9" s="792" t="s">
        <v>253</v>
      </c>
      <c r="B9" s="793"/>
      <c r="C9" s="60">
        <f>SUM(C8)</f>
        <v>0</v>
      </c>
      <c r="D9" s="60">
        <f aca="true" t="shared" si="1" ref="D9:V9">SUM(D8)</f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  <c r="I9" s="60">
        <f t="shared" si="1"/>
        <v>0</v>
      </c>
      <c r="J9" s="60">
        <f t="shared" si="1"/>
        <v>0</v>
      </c>
      <c r="K9" s="60">
        <f t="shared" si="1"/>
        <v>0</v>
      </c>
      <c r="L9" s="60">
        <f t="shared" si="1"/>
        <v>0</v>
      </c>
      <c r="M9" s="60">
        <f t="shared" si="1"/>
        <v>0</v>
      </c>
      <c r="N9" s="60">
        <f t="shared" si="1"/>
        <v>0</v>
      </c>
      <c r="O9" s="60">
        <f t="shared" si="1"/>
        <v>0</v>
      </c>
      <c r="P9" s="60">
        <f t="shared" si="1"/>
        <v>0</v>
      </c>
      <c r="Q9" s="60">
        <f t="shared" si="1"/>
        <v>0</v>
      </c>
      <c r="R9" s="60">
        <f t="shared" si="1"/>
        <v>0</v>
      </c>
      <c r="S9" s="60">
        <f t="shared" si="1"/>
        <v>0</v>
      </c>
      <c r="T9" s="60">
        <f t="shared" si="1"/>
        <v>0</v>
      </c>
      <c r="U9" s="60">
        <f t="shared" si="1"/>
        <v>0</v>
      </c>
      <c r="V9" s="60">
        <f t="shared" si="1"/>
        <v>0</v>
      </c>
    </row>
    <row r="10" spans="1:22" ht="13.5">
      <c r="A10" s="790" t="s">
        <v>292</v>
      </c>
      <c r="B10" s="79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13.5">
      <c r="A11" s="792" t="s">
        <v>253</v>
      </c>
      <c r="B11" s="793"/>
      <c r="C11" s="60">
        <f>SUM(C10)</f>
        <v>0</v>
      </c>
      <c r="D11" s="60">
        <f aca="true" t="shared" si="2" ref="D11:V11">SUM(D10)</f>
        <v>0</v>
      </c>
      <c r="E11" s="60">
        <f t="shared" si="2"/>
        <v>0</v>
      </c>
      <c r="F11" s="60">
        <f t="shared" si="2"/>
        <v>0</v>
      </c>
      <c r="G11" s="60">
        <f t="shared" si="2"/>
        <v>0</v>
      </c>
      <c r="H11" s="60">
        <f t="shared" si="2"/>
        <v>0</v>
      </c>
      <c r="I11" s="60">
        <f t="shared" si="2"/>
        <v>0</v>
      </c>
      <c r="J11" s="60">
        <f t="shared" si="2"/>
        <v>0</v>
      </c>
      <c r="K11" s="60">
        <f t="shared" si="2"/>
        <v>0</v>
      </c>
      <c r="L11" s="60">
        <f t="shared" si="2"/>
        <v>0</v>
      </c>
      <c r="M11" s="60">
        <f t="shared" si="2"/>
        <v>0</v>
      </c>
      <c r="N11" s="60">
        <f t="shared" si="2"/>
        <v>0</v>
      </c>
      <c r="O11" s="60">
        <f t="shared" si="2"/>
        <v>0</v>
      </c>
      <c r="P11" s="60">
        <f t="shared" si="2"/>
        <v>0</v>
      </c>
      <c r="Q11" s="60">
        <f t="shared" si="2"/>
        <v>0</v>
      </c>
      <c r="R11" s="60">
        <f t="shared" si="2"/>
        <v>0</v>
      </c>
      <c r="S11" s="60">
        <f t="shared" si="2"/>
        <v>0</v>
      </c>
      <c r="T11" s="60">
        <f t="shared" si="2"/>
        <v>0</v>
      </c>
      <c r="U11" s="60">
        <f t="shared" si="2"/>
        <v>0</v>
      </c>
      <c r="V11" s="60">
        <f t="shared" si="2"/>
        <v>0</v>
      </c>
    </row>
    <row r="12" spans="1:22" ht="13.5">
      <c r="A12" s="790" t="s">
        <v>293</v>
      </c>
      <c r="B12" s="791"/>
      <c r="C12" s="61"/>
      <c r="D12" s="61"/>
      <c r="E12" s="61"/>
      <c r="F12" s="61">
        <v>7704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13.5">
      <c r="A13" s="792" t="s">
        <v>253</v>
      </c>
      <c r="B13" s="793"/>
      <c r="C13" s="60">
        <f>SUM(C12)</f>
        <v>0</v>
      </c>
      <c r="D13" s="60">
        <f aca="true" t="shared" si="3" ref="D13:V13">SUM(D12)</f>
        <v>0</v>
      </c>
      <c r="E13" s="60">
        <f t="shared" si="3"/>
        <v>0</v>
      </c>
      <c r="F13" s="60">
        <f t="shared" si="3"/>
        <v>7704</v>
      </c>
      <c r="G13" s="60">
        <f t="shared" si="3"/>
        <v>0</v>
      </c>
      <c r="H13" s="60">
        <f t="shared" si="3"/>
        <v>0</v>
      </c>
      <c r="I13" s="60">
        <f t="shared" si="3"/>
        <v>0</v>
      </c>
      <c r="J13" s="60">
        <f t="shared" si="3"/>
        <v>0</v>
      </c>
      <c r="K13" s="60">
        <f t="shared" si="3"/>
        <v>0</v>
      </c>
      <c r="L13" s="60">
        <f t="shared" si="3"/>
        <v>0</v>
      </c>
      <c r="M13" s="60">
        <f t="shared" si="3"/>
        <v>0</v>
      </c>
      <c r="N13" s="60">
        <f t="shared" si="3"/>
        <v>0</v>
      </c>
      <c r="O13" s="60">
        <f t="shared" si="3"/>
        <v>0</v>
      </c>
      <c r="P13" s="60">
        <f t="shared" si="3"/>
        <v>0</v>
      </c>
      <c r="Q13" s="60">
        <f t="shared" si="3"/>
        <v>0</v>
      </c>
      <c r="R13" s="60">
        <f t="shared" si="3"/>
        <v>0</v>
      </c>
      <c r="S13" s="60">
        <f t="shared" si="3"/>
        <v>0</v>
      </c>
      <c r="T13" s="60">
        <f t="shared" si="3"/>
        <v>0</v>
      </c>
      <c r="U13" s="60">
        <f t="shared" si="3"/>
        <v>0</v>
      </c>
      <c r="V13" s="60">
        <f t="shared" si="3"/>
        <v>0</v>
      </c>
    </row>
    <row r="14" spans="1:22" ht="13.5">
      <c r="A14" s="790" t="s">
        <v>294</v>
      </c>
      <c r="B14" s="79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13.5">
      <c r="A15" s="792" t="s">
        <v>253</v>
      </c>
      <c r="B15" s="793"/>
      <c r="C15" s="60">
        <f>SUM(C14)</f>
        <v>0</v>
      </c>
      <c r="D15" s="60">
        <f aca="true" t="shared" si="4" ref="D15:V15">SUM(D14)</f>
        <v>0</v>
      </c>
      <c r="E15" s="60">
        <f t="shared" si="4"/>
        <v>0</v>
      </c>
      <c r="F15" s="60">
        <f t="shared" si="4"/>
        <v>0</v>
      </c>
      <c r="G15" s="60">
        <f t="shared" si="4"/>
        <v>0</v>
      </c>
      <c r="H15" s="60">
        <f t="shared" si="4"/>
        <v>0</v>
      </c>
      <c r="I15" s="60">
        <f t="shared" si="4"/>
        <v>0</v>
      </c>
      <c r="J15" s="60">
        <f t="shared" si="4"/>
        <v>0</v>
      </c>
      <c r="K15" s="60">
        <f t="shared" si="4"/>
        <v>0</v>
      </c>
      <c r="L15" s="60">
        <f t="shared" si="4"/>
        <v>0</v>
      </c>
      <c r="M15" s="60">
        <f t="shared" si="4"/>
        <v>0</v>
      </c>
      <c r="N15" s="60">
        <f t="shared" si="4"/>
        <v>0</v>
      </c>
      <c r="O15" s="60">
        <f t="shared" si="4"/>
        <v>0</v>
      </c>
      <c r="P15" s="60">
        <f t="shared" si="4"/>
        <v>0</v>
      </c>
      <c r="Q15" s="60">
        <f t="shared" si="4"/>
        <v>0</v>
      </c>
      <c r="R15" s="60">
        <f t="shared" si="4"/>
        <v>0</v>
      </c>
      <c r="S15" s="60">
        <f t="shared" si="4"/>
        <v>0</v>
      </c>
      <c r="T15" s="60">
        <f t="shared" si="4"/>
        <v>0</v>
      </c>
      <c r="U15" s="60">
        <f t="shared" si="4"/>
        <v>0</v>
      </c>
      <c r="V15" s="60">
        <f t="shared" si="4"/>
        <v>0</v>
      </c>
    </row>
    <row r="16" spans="1:22" ht="13.5">
      <c r="A16" s="790" t="s">
        <v>295</v>
      </c>
      <c r="B16" s="79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13.5">
      <c r="A17" s="792" t="s">
        <v>253</v>
      </c>
      <c r="B17" s="793"/>
      <c r="C17" s="60">
        <f>SUM(C16)</f>
        <v>0</v>
      </c>
      <c r="D17" s="60">
        <f aca="true" t="shared" si="5" ref="D17:V17">SUM(D16)</f>
        <v>0</v>
      </c>
      <c r="E17" s="60">
        <f t="shared" si="5"/>
        <v>0</v>
      </c>
      <c r="F17" s="60">
        <f t="shared" si="5"/>
        <v>0</v>
      </c>
      <c r="G17" s="60">
        <f t="shared" si="5"/>
        <v>0</v>
      </c>
      <c r="H17" s="60">
        <f t="shared" si="5"/>
        <v>0</v>
      </c>
      <c r="I17" s="60">
        <f t="shared" si="5"/>
        <v>0</v>
      </c>
      <c r="J17" s="60">
        <f t="shared" si="5"/>
        <v>0</v>
      </c>
      <c r="K17" s="60">
        <f t="shared" si="5"/>
        <v>0</v>
      </c>
      <c r="L17" s="60">
        <f t="shared" si="5"/>
        <v>0</v>
      </c>
      <c r="M17" s="60">
        <f t="shared" si="5"/>
        <v>0</v>
      </c>
      <c r="N17" s="60">
        <f t="shared" si="5"/>
        <v>0</v>
      </c>
      <c r="O17" s="60">
        <f t="shared" si="5"/>
        <v>0</v>
      </c>
      <c r="P17" s="60">
        <f t="shared" si="5"/>
        <v>0</v>
      </c>
      <c r="Q17" s="60">
        <f t="shared" si="5"/>
        <v>0</v>
      </c>
      <c r="R17" s="60">
        <f t="shared" si="5"/>
        <v>0</v>
      </c>
      <c r="S17" s="60">
        <f t="shared" si="5"/>
        <v>0</v>
      </c>
      <c r="T17" s="60">
        <f t="shared" si="5"/>
        <v>0</v>
      </c>
      <c r="U17" s="60">
        <f t="shared" si="5"/>
        <v>0</v>
      </c>
      <c r="V17" s="60">
        <f t="shared" si="5"/>
        <v>0</v>
      </c>
    </row>
    <row r="18" spans="1:22" ht="13.5">
      <c r="A18" s="790" t="s">
        <v>297</v>
      </c>
      <c r="B18" s="79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13.5">
      <c r="A19" s="792" t="s">
        <v>253</v>
      </c>
      <c r="B19" s="793"/>
      <c r="C19" s="60">
        <f>SUM(C18)</f>
        <v>0</v>
      </c>
      <c r="D19" s="60">
        <f aca="true" t="shared" si="6" ref="D19:V19">SUM(D18)</f>
        <v>0</v>
      </c>
      <c r="E19" s="60">
        <f t="shared" si="6"/>
        <v>0</v>
      </c>
      <c r="F19" s="60">
        <f t="shared" si="6"/>
        <v>0</v>
      </c>
      <c r="G19" s="60">
        <f t="shared" si="6"/>
        <v>0</v>
      </c>
      <c r="H19" s="60">
        <f t="shared" si="6"/>
        <v>0</v>
      </c>
      <c r="I19" s="60">
        <f t="shared" si="6"/>
        <v>0</v>
      </c>
      <c r="J19" s="60">
        <f t="shared" si="6"/>
        <v>0</v>
      </c>
      <c r="K19" s="60">
        <f t="shared" si="6"/>
        <v>0</v>
      </c>
      <c r="L19" s="60">
        <f t="shared" si="6"/>
        <v>0</v>
      </c>
      <c r="M19" s="60">
        <f t="shared" si="6"/>
        <v>0</v>
      </c>
      <c r="N19" s="60">
        <f t="shared" si="6"/>
        <v>0</v>
      </c>
      <c r="O19" s="60">
        <f t="shared" si="6"/>
        <v>0</v>
      </c>
      <c r="P19" s="60">
        <f t="shared" si="6"/>
        <v>0</v>
      </c>
      <c r="Q19" s="60">
        <f t="shared" si="6"/>
        <v>0</v>
      </c>
      <c r="R19" s="60">
        <f t="shared" si="6"/>
        <v>0</v>
      </c>
      <c r="S19" s="60">
        <f t="shared" si="6"/>
        <v>0</v>
      </c>
      <c r="T19" s="60">
        <f t="shared" si="6"/>
        <v>0</v>
      </c>
      <c r="U19" s="60">
        <f t="shared" si="6"/>
        <v>0</v>
      </c>
      <c r="V19" s="60">
        <f t="shared" si="6"/>
        <v>0</v>
      </c>
    </row>
    <row r="20" spans="1:22" ht="13.5">
      <c r="A20" s="790" t="s">
        <v>298</v>
      </c>
      <c r="B20" s="79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13.5">
      <c r="A21" s="792" t="s">
        <v>253</v>
      </c>
      <c r="B21" s="793"/>
      <c r="C21" s="60">
        <f>SUM(C20)</f>
        <v>0</v>
      </c>
      <c r="D21" s="60">
        <f aca="true" t="shared" si="7" ref="D21:V21">SUM(D20)</f>
        <v>0</v>
      </c>
      <c r="E21" s="60">
        <f t="shared" si="7"/>
        <v>0</v>
      </c>
      <c r="F21" s="60">
        <f t="shared" si="7"/>
        <v>0</v>
      </c>
      <c r="G21" s="60">
        <f t="shared" si="7"/>
        <v>0</v>
      </c>
      <c r="H21" s="60">
        <f t="shared" si="7"/>
        <v>0</v>
      </c>
      <c r="I21" s="60">
        <f t="shared" si="7"/>
        <v>0</v>
      </c>
      <c r="J21" s="60">
        <f t="shared" si="7"/>
        <v>0</v>
      </c>
      <c r="K21" s="60">
        <f t="shared" si="7"/>
        <v>0</v>
      </c>
      <c r="L21" s="60">
        <f t="shared" si="7"/>
        <v>0</v>
      </c>
      <c r="M21" s="60">
        <f t="shared" si="7"/>
        <v>0</v>
      </c>
      <c r="N21" s="60">
        <f t="shared" si="7"/>
        <v>0</v>
      </c>
      <c r="O21" s="60">
        <f t="shared" si="7"/>
        <v>0</v>
      </c>
      <c r="P21" s="60">
        <f t="shared" si="7"/>
        <v>0</v>
      </c>
      <c r="Q21" s="60">
        <f t="shared" si="7"/>
        <v>0</v>
      </c>
      <c r="R21" s="60">
        <f t="shared" si="7"/>
        <v>0</v>
      </c>
      <c r="S21" s="60">
        <f t="shared" si="7"/>
        <v>0</v>
      </c>
      <c r="T21" s="60">
        <f t="shared" si="7"/>
        <v>0</v>
      </c>
      <c r="U21" s="60">
        <f t="shared" si="7"/>
        <v>0</v>
      </c>
      <c r="V21" s="60">
        <f t="shared" si="7"/>
        <v>0</v>
      </c>
    </row>
    <row r="22" spans="1:22" ht="13.5">
      <c r="A22" s="790" t="s">
        <v>299</v>
      </c>
      <c r="B22" s="79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ht="13.5">
      <c r="A23" s="792" t="s">
        <v>253</v>
      </c>
      <c r="B23" s="793"/>
      <c r="C23" s="60">
        <f>SUM(C22)</f>
        <v>0</v>
      </c>
      <c r="D23" s="60">
        <f aca="true" t="shared" si="8" ref="D23:V23">SUM(D22)</f>
        <v>0</v>
      </c>
      <c r="E23" s="60">
        <f t="shared" si="8"/>
        <v>0</v>
      </c>
      <c r="F23" s="60">
        <f t="shared" si="8"/>
        <v>0</v>
      </c>
      <c r="G23" s="60">
        <f t="shared" si="8"/>
        <v>0</v>
      </c>
      <c r="H23" s="60">
        <f t="shared" si="8"/>
        <v>0</v>
      </c>
      <c r="I23" s="60">
        <f t="shared" si="8"/>
        <v>0</v>
      </c>
      <c r="J23" s="60">
        <f t="shared" si="8"/>
        <v>0</v>
      </c>
      <c r="K23" s="60">
        <f t="shared" si="8"/>
        <v>0</v>
      </c>
      <c r="L23" s="60">
        <f t="shared" si="8"/>
        <v>0</v>
      </c>
      <c r="M23" s="60">
        <f t="shared" si="8"/>
        <v>0</v>
      </c>
      <c r="N23" s="60">
        <f t="shared" si="8"/>
        <v>0</v>
      </c>
      <c r="O23" s="60">
        <f t="shared" si="8"/>
        <v>0</v>
      </c>
      <c r="P23" s="60">
        <f t="shared" si="8"/>
        <v>0</v>
      </c>
      <c r="Q23" s="60">
        <f t="shared" si="8"/>
        <v>0</v>
      </c>
      <c r="R23" s="60">
        <f t="shared" si="8"/>
        <v>0</v>
      </c>
      <c r="S23" s="60">
        <f t="shared" si="8"/>
        <v>0</v>
      </c>
      <c r="T23" s="60">
        <f t="shared" si="8"/>
        <v>0</v>
      </c>
      <c r="U23" s="60">
        <f t="shared" si="8"/>
        <v>0</v>
      </c>
      <c r="V23" s="60">
        <f t="shared" si="8"/>
        <v>0</v>
      </c>
    </row>
    <row r="24" spans="1:22" ht="13.5">
      <c r="A24" s="790" t="s">
        <v>300</v>
      </c>
      <c r="B24" s="79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ht="13.5">
      <c r="A25" s="792" t="s">
        <v>253</v>
      </c>
      <c r="B25" s="793"/>
      <c r="C25" s="60">
        <f>SUM(C24)</f>
        <v>0</v>
      </c>
      <c r="D25" s="60">
        <f aca="true" t="shared" si="9" ref="D25:V25">SUM(D24)</f>
        <v>0</v>
      </c>
      <c r="E25" s="60">
        <f t="shared" si="9"/>
        <v>0</v>
      </c>
      <c r="F25" s="60">
        <f t="shared" si="9"/>
        <v>0</v>
      </c>
      <c r="G25" s="60">
        <f t="shared" si="9"/>
        <v>0</v>
      </c>
      <c r="H25" s="60">
        <f t="shared" si="9"/>
        <v>0</v>
      </c>
      <c r="I25" s="60">
        <f t="shared" si="9"/>
        <v>0</v>
      </c>
      <c r="J25" s="60">
        <f t="shared" si="9"/>
        <v>0</v>
      </c>
      <c r="K25" s="60">
        <f t="shared" si="9"/>
        <v>0</v>
      </c>
      <c r="L25" s="60">
        <f t="shared" si="9"/>
        <v>0</v>
      </c>
      <c r="M25" s="60">
        <f t="shared" si="9"/>
        <v>0</v>
      </c>
      <c r="N25" s="60">
        <f t="shared" si="9"/>
        <v>0</v>
      </c>
      <c r="O25" s="60">
        <f t="shared" si="9"/>
        <v>0</v>
      </c>
      <c r="P25" s="60">
        <f t="shared" si="9"/>
        <v>0</v>
      </c>
      <c r="Q25" s="60">
        <f t="shared" si="9"/>
        <v>0</v>
      </c>
      <c r="R25" s="60">
        <f t="shared" si="9"/>
        <v>0</v>
      </c>
      <c r="S25" s="60">
        <f t="shared" si="9"/>
        <v>0</v>
      </c>
      <c r="T25" s="60">
        <f t="shared" si="9"/>
        <v>0</v>
      </c>
      <c r="U25" s="60">
        <f t="shared" si="9"/>
        <v>0</v>
      </c>
      <c r="V25" s="60">
        <f t="shared" si="9"/>
        <v>0</v>
      </c>
    </row>
    <row r="26" spans="1:22" ht="13.5">
      <c r="A26" s="790" t="s">
        <v>304</v>
      </c>
      <c r="B26" s="79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ht="13.5">
      <c r="A27" s="792" t="s">
        <v>253</v>
      </c>
      <c r="B27" s="793"/>
      <c r="C27" s="60">
        <f>SUM(C26)</f>
        <v>0</v>
      </c>
      <c r="D27" s="60">
        <f aca="true" t="shared" si="10" ref="D27:V27">SUM(D26)</f>
        <v>0</v>
      </c>
      <c r="E27" s="60">
        <f t="shared" si="10"/>
        <v>0</v>
      </c>
      <c r="F27" s="60">
        <f t="shared" si="10"/>
        <v>0</v>
      </c>
      <c r="G27" s="60">
        <f t="shared" si="10"/>
        <v>0</v>
      </c>
      <c r="H27" s="60">
        <f t="shared" si="10"/>
        <v>0</v>
      </c>
      <c r="I27" s="60">
        <f t="shared" si="10"/>
        <v>0</v>
      </c>
      <c r="J27" s="60">
        <f t="shared" si="10"/>
        <v>0</v>
      </c>
      <c r="K27" s="60">
        <f t="shared" si="10"/>
        <v>0</v>
      </c>
      <c r="L27" s="60">
        <f t="shared" si="10"/>
        <v>0</v>
      </c>
      <c r="M27" s="60">
        <f t="shared" si="10"/>
        <v>0</v>
      </c>
      <c r="N27" s="60">
        <f t="shared" si="10"/>
        <v>0</v>
      </c>
      <c r="O27" s="60">
        <f t="shared" si="10"/>
        <v>0</v>
      </c>
      <c r="P27" s="60">
        <f t="shared" si="10"/>
        <v>0</v>
      </c>
      <c r="Q27" s="60">
        <f t="shared" si="10"/>
        <v>0</v>
      </c>
      <c r="R27" s="60">
        <f t="shared" si="10"/>
        <v>0</v>
      </c>
      <c r="S27" s="60">
        <f t="shared" si="10"/>
        <v>0</v>
      </c>
      <c r="T27" s="60">
        <f t="shared" si="10"/>
        <v>0</v>
      </c>
      <c r="U27" s="60">
        <f t="shared" si="10"/>
        <v>0</v>
      </c>
      <c r="V27" s="60">
        <f t="shared" si="10"/>
        <v>0</v>
      </c>
    </row>
    <row r="28" spans="1:23" ht="13.5">
      <c r="A28" s="794" t="s">
        <v>252</v>
      </c>
      <c r="B28" s="795"/>
      <c r="C28" s="58">
        <f>SUM(C6,C8,C10,C12,C14,C16,C18,C20,C22,C24,C26)</f>
        <v>0</v>
      </c>
      <c r="D28" s="58">
        <f>SUM(D6,D8,D10,D12,D14,D16,D18,D20,D22,D24,D26)</f>
        <v>0</v>
      </c>
      <c r="E28" s="58">
        <f aca="true" t="shared" si="11" ref="E28:V28">SUM(E6,E8,E10,E12,E14,E16,E18,E20,E22,E24,E26)</f>
        <v>0</v>
      </c>
      <c r="F28" s="58">
        <f t="shared" si="11"/>
        <v>7704</v>
      </c>
      <c r="G28" s="58">
        <f t="shared" si="11"/>
        <v>0</v>
      </c>
      <c r="H28" s="58">
        <f t="shared" si="11"/>
        <v>0</v>
      </c>
      <c r="I28" s="58">
        <f t="shared" si="11"/>
        <v>0</v>
      </c>
      <c r="J28" s="58">
        <f t="shared" si="11"/>
        <v>0</v>
      </c>
      <c r="K28" s="58">
        <f t="shared" si="11"/>
        <v>0</v>
      </c>
      <c r="L28" s="58">
        <f t="shared" si="11"/>
        <v>0</v>
      </c>
      <c r="M28" s="58">
        <f t="shared" si="11"/>
        <v>0</v>
      </c>
      <c r="N28" s="58">
        <f t="shared" si="11"/>
        <v>0</v>
      </c>
      <c r="O28" s="58">
        <f t="shared" si="11"/>
        <v>0</v>
      </c>
      <c r="P28" s="58">
        <f t="shared" si="11"/>
        <v>0</v>
      </c>
      <c r="Q28" s="58">
        <f t="shared" si="11"/>
        <v>0</v>
      </c>
      <c r="R28" s="58">
        <f t="shared" si="11"/>
        <v>0</v>
      </c>
      <c r="S28" s="58">
        <f t="shared" si="11"/>
        <v>0</v>
      </c>
      <c r="T28" s="58">
        <f t="shared" si="11"/>
        <v>0</v>
      </c>
      <c r="U28" s="58">
        <f t="shared" si="11"/>
        <v>0</v>
      </c>
      <c r="V28" s="58">
        <f t="shared" si="11"/>
        <v>0</v>
      </c>
      <c r="W28" s="166" t="e">
        <f>+W29+V28</f>
        <v>#REF!</v>
      </c>
    </row>
    <row r="29" spans="1:23" ht="13.5">
      <c r="A29" s="794" t="s">
        <v>253</v>
      </c>
      <c r="B29" s="795"/>
      <c r="C29" s="58">
        <f>+C27+C25+C23+C21+C19+C17+C15+C13+C11+C9+C7</f>
        <v>0</v>
      </c>
      <c r="D29" s="58">
        <f aca="true" t="shared" si="12" ref="D29:V29">+D27+D25+D23+D21+D19+D17+D15+D13+D11+D9+D7</f>
        <v>0</v>
      </c>
      <c r="E29" s="58">
        <f t="shared" si="12"/>
        <v>0</v>
      </c>
      <c r="F29" s="58">
        <f t="shared" si="12"/>
        <v>7704</v>
      </c>
      <c r="G29" s="58">
        <f t="shared" si="12"/>
        <v>0</v>
      </c>
      <c r="H29" s="58">
        <f t="shared" si="12"/>
        <v>0</v>
      </c>
      <c r="I29" s="58">
        <f t="shared" si="12"/>
        <v>0</v>
      </c>
      <c r="J29" s="58">
        <f t="shared" si="12"/>
        <v>0</v>
      </c>
      <c r="K29" s="58">
        <f t="shared" si="12"/>
        <v>0</v>
      </c>
      <c r="L29" s="58">
        <f t="shared" si="12"/>
        <v>0</v>
      </c>
      <c r="M29" s="58">
        <f t="shared" si="12"/>
        <v>0</v>
      </c>
      <c r="N29" s="58">
        <f t="shared" si="12"/>
        <v>0</v>
      </c>
      <c r="O29" s="58">
        <f t="shared" si="12"/>
        <v>0</v>
      </c>
      <c r="P29" s="58">
        <f t="shared" si="12"/>
        <v>0</v>
      </c>
      <c r="Q29" s="58">
        <f t="shared" si="12"/>
        <v>0</v>
      </c>
      <c r="R29" s="58">
        <f t="shared" si="12"/>
        <v>0</v>
      </c>
      <c r="S29" s="58">
        <f t="shared" si="12"/>
        <v>0</v>
      </c>
      <c r="T29" s="58">
        <f t="shared" si="12"/>
        <v>0</v>
      </c>
      <c r="U29" s="58">
        <f t="shared" si="12"/>
        <v>0</v>
      </c>
      <c r="V29" s="58">
        <f t="shared" si="12"/>
        <v>0</v>
      </c>
      <c r="W29" s="166" t="e">
        <f>+#REF!</f>
        <v>#REF!</v>
      </c>
    </row>
    <row r="30" spans="1:23" ht="13.5">
      <c r="A30" s="796" t="s">
        <v>214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166" t="e">
        <f>+W29+V28</f>
        <v>#REF!</v>
      </c>
    </row>
    <row r="31" spans="1:22" ht="13.5">
      <c r="A31" s="796" t="s">
        <v>308</v>
      </c>
      <c r="B31" s="796"/>
      <c r="C31" s="796"/>
      <c r="D31" s="796"/>
      <c r="E31" s="796"/>
      <c r="F31" s="796"/>
      <c r="G31" s="796"/>
      <c r="H31" s="796"/>
      <c r="I31" s="796"/>
      <c r="J31" s="796"/>
      <c r="K31" s="796"/>
      <c r="L31" s="796"/>
      <c r="M31" s="796"/>
      <c r="N31" s="796"/>
      <c r="O31" s="796"/>
      <c r="P31" s="796"/>
      <c r="Q31" s="796"/>
      <c r="R31" s="796"/>
      <c r="S31" s="796"/>
      <c r="T31" s="796"/>
      <c r="U31" s="796"/>
      <c r="V31" s="796"/>
    </row>
    <row r="32" spans="1:22" ht="13.5">
      <c r="A32" s="797" t="s">
        <v>667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</row>
    <row r="33" spans="1:22" ht="13.5">
      <c r="A33" s="798" t="s">
        <v>216</v>
      </c>
      <c r="B33" s="798"/>
      <c r="C33" s="799" t="s">
        <v>218</v>
      </c>
      <c r="D33" s="799"/>
      <c r="E33" s="540" t="s">
        <v>221</v>
      </c>
      <c r="F33" s="799" t="s">
        <v>223</v>
      </c>
      <c r="G33" s="798"/>
      <c r="H33" s="799" t="s">
        <v>237</v>
      </c>
      <c r="I33" s="798"/>
      <c r="J33" s="540" t="s">
        <v>238</v>
      </c>
      <c r="K33" s="800" t="s">
        <v>239</v>
      </c>
      <c r="L33" s="801"/>
      <c r="M33" s="802"/>
      <c r="N33" s="540" t="s">
        <v>240</v>
      </c>
      <c r="O33" s="800" t="s">
        <v>241</v>
      </c>
      <c r="P33" s="801"/>
      <c r="Q33" s="802"/>
      <c r="R33" s="799" t="s">
        <v>242</v>
      </c>
      <c r="S33" s="798"/>
      <c r="T33" s="540" t="s">
        <v>306</v>
      </c>
      <c r="U33" s="540" t="s">
        <v>243</v>
      </c>
      <c r="V33" s="803" t="s">
        <v>17</v>
      </c>
    </row>
    <row r="34" spans="1:22" ht="13.5">
      <c r="A34" s="798" t="s">
        <v>217</v>
      </c>
      <c r="B34" s="798"/>
      <c r="C34" s="540" t="s">
        <v>219</v>
      </c>
      <c r="D34" s="540" t="s">
        <v>220</v>
      </c>
      <c r="E34" s="540" t="s">
        <v>222</v>
      </c>
      <c r="F34" s="540" t="s">
        <v>224</v>
      </c>
      <c r="G34" s="540" t="s">
        <v>225</v>
      </c>
      <c r="H34" s="540" t="s">
        <v>226</v>
      </c>
      <c r="I34" s="540" t="s">
        <v>227</v>
      </c>
      <c r="J34" s="540" t="s">
        <v>228</v>
      </c>
      <c r="K34" s="540" t="s">
        <v>229</v>
      </c>
      <c r="L34" s="540" t="s">
        <v>230</v>
      </c>
      <c r="M34" s="540" t="s">
        <v>431</v>
      </c>
      <c r="N34" s="540" t="s">
        <v>231</v>
      </c>
      <c r="O34" s="540" t="s">
        <v>232</v>
      </c>
      <c r="P34" s="540" t="s">
        <v>233</v>
      </c>
      <c r="Q34" s="540" t="s">
        <v>314</v>
      </c>
      <c r="R34" s="540" t="s">
        <v>234</v>
      </c>
      <c r="S34" s="540" t="s">
        <v>235</v>
      </c>
      <c r="T34" s="540" t="s">
        <v>307</v>
      </c>
      <c r="U34" s="540" t="s">
        <v>236</v>
      </c>
      <c r="V34" s="803"/>
    </row>
    <row r="35" spans="1:22" ht="13.5">
      <c r="A35" s="790" t="s">
        <v>290</v>
      </c>
      <c r="B35" s="791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2"/>
      <c r="V35" s="62">
        <f>SUM(C35:U35)</f>
        <v>0</v>
      </c>
    </row>
    <row r="36" spans="1:22" ht="13.5">
      <c r="A36" s="792" t="s">
        <v>253</v>
      </c>
      <c r="B36" s="793"/>
      <c r="C36" s="60">
        <f>SUM(C35)</f>
        <v>0</v>
      </c>
      <c r="D36" s="60">
        <f aca="true" t="shared" si="13" ref="D36:U36">SUM(D35)</f>
        <v>0</v>
      </c>
      <c r="E36" s="60">
        <f t="shared" si="13"/>
        <v>0</v>
      </c>
      <c r="F36" s="60">
        <f t="shared" si="13"/>
        <v>0</v>
      </c>
      <c r="G36" s="60">
        <f t="shared" si="13"/>
        <v>0</v>
      </c>
      <c r="H36" s="60">
        <f t="shared" si="13"/>
        <v>0</v>
      </c>
      <c r="I36" s="60">
        <f t="shared" si="13"/>
        <v>0</v>
      </c>
      <c r="J36" s="60">
        <f t="shared" si="13"/>
        <v>0</v>
      </c>
      <c r="K36" s="60">
        <f t="shared" si="13"/>
        <v>0</v>
      </c>
      <c r="L36" s="60">
        <f t="shared" si="13"/>
        <v>0</v>
      </c>
      <c r="M36" s="60">
        <f t="shared" si="13"/>
        <v>0</v>
      </c>
      <c r="N36" s="60">
        <f t="shared" si="13"/>
        <v>0</v>
      </c>
      <c r="O36" s="60">
        <f t="shared" si="13"/>
        <v>0</v>
      </c>
      <c r="P36" s="60">
        <f t="shared" si="13"/>
        <v>0</v>
      </c>
      <c r="Q36" s="60">
        <f t="shared" si="13"/>
        <v>0</v>
      </c>
      <c r="R36" s="60">
        <f t="shared" si="13"/>
        <v>0</v>
      </c>
      <c r="S36" s="60">
        <f t="shared" si="13"/>
        <v>0</v>
      </c>
      <c r="T36" s="60">
        <f t="shared" si="13"/>
        <v>0</v>
      </c>
      <c r="U36" s="60">
        <f t="shared" si="13"/>
        <v>0</v>
      </c>
      <c r="V36" s="60">
        <f>SUM(V35)</f>
        <v>0</v>
      </c>
    </row>
    <row r="37" spans="1:22" ht="13.5">
      <c r="A37" s="790" t="s">
        <v>291</v>
      </c>
      <c r="B37" s="79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2">
        <f>SUM(C37:U37)</f>
        <v>0</v>
      </c>
    </row>
    <row r="38" spans="1:22" ht="13.5">
      <c r="A38" s="792" t="s">
        <v>253</v>
      </c>
      <c r="B38" s="793"/>
      <c r="C38" s="60">
        <f>SUM(C37)</f>
        <v>0</v>
      </c>
      <c r="D38" s="60">
        <f aca="true" t="shared" si="14" ref="D38:U38">SUM(D37)</f>
        <v>0</v>
      </c>
      <c r="E38" s="60">
        <f t="shared" si="14"/>
        <v>0</v>
      </c>
      <c r="F38" s="60">
        <f t="shared" si="14"/>
        <v>0</v>
      </c>
      <c r="G38" s="60">
        <f t="shared" si="14"/>
        <v>0</v>
      </c>
      <c r="H38" s="60">
        <f t="shared" si="14"/>
        <v>0</v>
      </c>
      <c r="I38" s="60">
        <f t="shared" si="14"/>
        <v>0</v>
      </c>
      <c r="J38" s="60">
        <f t="shared" si="14"/>
        <v>0</v>
      </c>
      <c r="K38" s="60">
        <f t="shared" si="14"/>
        <v>0</v>
      </c>
      <c r="L38" s="60">
        <f t="shared" si="14"/>
        <v>0</v>
      </c>
      <c r="M38" s="60">
        <f t="shared" si="14"/>
        <v>0</v>
      </c>
      <c r="N38" s="60">
        <f t="shared" si="14"/>
        <v>0</v>
      </c>
      <c r="O38" s="60">
        <f t="shared" si="14"/>
        <v>0</v>
      </c>
      <c r="P38" s="60">
        <f t="shared" si="14"/>
        <v>0</v>
      </c>
      <c r="Q38" s="60">
        <f t="shared" si="14"/>
        <v>0</v>
      </c>
      <c r="R38" s="60">
        <f t="shared" si="14"/>
        <v>0</v>
      </c>
      <c r="S38" s="60">
        <f t="shared" si="14"/>
        <v>0</v>
      </c>
      <c r="T38" s="60">
        <f t="shared" si="14"/>
        <v>0</v>
      </c>
      <c r="U38" s="60">
        <f t="shared" si="14"/>
        <v>0</v>
      </c>
      <c r="V38" s="60">
        <f>SUM(V37)</f>
        <v>0</v>
      </c>
    </row>
    <row r="39" spans="1:22" ht="13.5">
      <c r="A39" s="790" t="s">
        <v>292</v>
      </c>
      <c r="B39" s="79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</row>
    <row r="40" spans="1:22" ht="13.5">
      <c r="A40" s="792" t="s">
        <v>253</v>
      </c>
      <c r="B40" s="793"/>
      <c r="C40" s="60">
        <f>SUM(C39)</f>
        <v>0</v>
      </c>
      <c r="D40" s="60">
        <f aca="true" t="shared" si="15" ref="D40:U40">SUM(D39)</f>
        <v>0</v>
      </c>
      <c r="E40" s="60">
        <f t="shared" si="15"/>
        <v>0</v>
      </c>
      <c r="F40" s="60">
        <f t="shared" si="15"/>
        <v>0</v>
      </c>
      <c r="G40" s="60">
        <f t="shared" si="15"/>
        <v>0</v>
      </c>
      <c r="H40" s="60">
        <f t="shared" si="15"/>
        <v>0</v>
      </c>
      <c r="I40" s="60">
        <f t="shared" si="15"/>
        <v>0</v>
      </c>
      <c r="J40" s="60">
        <f t="shared" si="15"/>
        <v>0</v>
      </c>
      <c r="K40" s="60">
        <f t="shared" si="15"/>
        <v>0</v>
      </c>
      <c r="L40" s="60">
        <f t="shared" si="15"/>
        <v>0</v>
      </c>
      <c r="M40" s="60">
        <f t="shared" si="15"/>
        <v>0</v>
      </c>
      <c r="N40" s="60">
        <f t="shared" si="15"/>
        <v>0</v>
      </c>
      <c r="O40" s="60">
        <f t="shared" si="15"/>
        <v>0</v>
      </c>
      <c r="P40" s="60">
        <f t="shared" si="15"/>
        <v>0</v>
      </c>
      <c r="Q40" s="60">
        <f t="shared" si="15"/>
        <v>0</v>
      </c>
      <c r="R40" s="60">
        <f t="shared" si="15"/>
        <v>0</v>
      </c>
      <c r="S40" s="60">
        <f t="shared" si="15"/>
        <v>0</v>
      </c>
      <c r="T40" s="60">
        <f t="shared" si="15"/>
        <v>0</v>
      </c>
      <c r="U40" s="60">
        <f t="shared" si="15"/>
        <v>0</v>
      </c>
      <c r="V40" s="60">
        <f>SUM(V39)</f>
        <v>0</v>
      </c>
    </row>
    <row r="41" spans="1:22" ht="13.5">
      <c r="A41" s="790" t="s">
        <v>293</v>
      </c>
      <c r="B41" s="791"/>
      <c r="C41" s="61"/>
      <c r="D41" s="61"/>
      <c r="E41" s="61"/>
      <c r="F41" s="61">
        <v>0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</row>
    <row r="42" spans="1:22" ht="13.5">
      <c r="A42" s="792" t="s">
        <v>253</v>
      </c>
      <c r="B42" s="793"/>
      <c r="C42" s="60">
        <f>SUM(C41)</f>
        <v>0</v>
      </c>
      <c r="D42" s="60">
        <f aca="true" t="shared" si="16" ref="D42:U42">SUM(D41)</f>
        <v>0</v>
      </c>
      <c r="E42" s="60">
        <f t="shared" si="16"/>
        <v>0</v>
      </c>
      <c r="F42" s="60">
        <f>SUM(F41+F13)</f>
        <v>7704</v>
      </c>
      <c r="G42" s="60">
        <f t="shared" si="16"/>
        <v>0</v>
      </c>
      <c r="H42" s="60">
        <f t="shared" si="16"/>
        <v>0</v>
      </c>
      <c r="I42" s="60">
        <f t="shared" si="16"/>
        <v>0</v>
      </c>
      <c r="J42" s="60">
        <f t="shared" si="16"/>
        <v>0</v>
      </c>
      <c r="K42" s="60">
        <f t="shared" si="16"/>
        <v>0</v>
      </c>
      <c r="L42" s="60">
        <f t="shared" si="16"/>
        <v>0</v>
      </c>
      <c r="M42" s="60">
        <f t="shared" si="16"/>
        <v>0</v>
      </c>
      <c r="N42" s="60">
        <f t="shared" si="16"/>
        <v>0</v>
      </c>
      <c r="O42" s="60">
        <f t="shared" si="16"/>
        <v>0</v>
      </c>
      <c r="P42" s="60">
        <f t="shared" si="16"/>
        <v>0</v>
      </c>
      <c r="Q42" s="60">
        <f t="shared" si="16"/>
        <v>0</v>
      </c>
      <c r="R42" s="60">
        <f t="shared" si="16"/>
        <v>0</v>
      </c>
      <c r="S42" s="60">
        <f t="shared" si="16"/>
        <v>0</v>
      </c>
      <c r="T42" s="60">
        <f t="shared" si="16"/>
        <v>0</v>
      </c>
      <c r="U42" s="60">
        <f t="shared" si="16"/>
        <v>0</v>
      </c>
      <c r="V42" s="60">
        <f>SUM(C42:U42)</f>
        <v>7704</v>
      </c>
    </row>
    <row r="43" spans="1:22" ht="13.5">
      <c r="A43" s="790" t="s">
        <v>294</v>
      </c>
      <c r="B43" s="79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</row>
    <row r="44" spans="1:22" ht="13.5">
      <c r="A44" s="792" t="s">
        <v>253</v>
      </c>
      <c r="B44" s="793"/>
      <c r="C44" s="60">
        <f>SUM(C43)</f>
        <v>0</v>
      </c>
      <c r="D44" s="60">
        <f aca="true" t="shared" si="17" ref="D44:V44">SUM(D43)</f>
        <v>0</v>
      </c>
      <c r="E44" s="60">
        <f t="shared" si="17"/>
        <v>0</v>
      </c>
      <c r="F44" s="60">
        <f t="shared" si="17"/>
        <v>0</v>
      </c>
      <c r="G44" s="60">
        <f t="shared" si="17"/>
        <v>0</v>
      </c>
      <c r="H44" s="60">
        <f t="shared" si="17"/>
        <v>0</v>
      </c>
      <c r="I44" s="60">
        <f t="shared" si="17"/>
        <v>0</v>
      </c>
      <c r="J44" s="60">
        <f t="shared" si="17"/>
        <v>0</v>
      </c>
      <c r="K44" s="60">
        <f t="shared" si="17"/>
        <v>0</v>
      </c>
      <c r="L44" s="60">
        <f t="shared" si="17"/>
        <v>0</v>
      </c>
      <c r="M44" s="60">
        <f t="shared" si="17"/>
        <v>0</v>
      </c>
      <c r="N44" s="60">
        <f t="shared" si="17"/>
        <v>0</v>
      </c>
      <c r="O44" s="60">
        <f t="shared" si="17"/>
        <v>0</v>
      </c>
      <c r="P44" s="60">
        <f t="shared" si="17"/>
        <v>0</v>
      </c>
      <c r="Q44" s="60">
        <f t="shared" si="17"/>
        <v>0</v>
      </c>
      <c r="R44" s="60">
        <f t="shared" si="17"/>
        <v>0</v>
      </c>
      <c r="S44" s="60">
        <f t="shared" si="17"/>
        <v>0</v>
      </c>
      <c r="T44" s="60">
        <f t="shared" si="17"/>
        <v>0</v>
      </c>
      <c r="U44" s="60">
        <f t="shared" si="17"/>
        <v>0</v>
      </c>
      <c r="V44" s="60">
        <f t="shared" si="17"/>
        <v>0</v>
      </c>
    </row>
    <row r="45" spans="1:22" ht="13.5">
      <c r="A45" s="790" t="s">
        <v>295</v>
      </c>
      <c r="B45" s="79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</row>
    <row r="46" spans="1:22" ht="13.5">
      <c r="A46" s="792" t="s">
        <v>253</v>
      </c>
      <c r="B46" s="793"/>
      <c r="C46" s="60">
        <f>SUM(C45)</f>
        <v>0</v>
      </c>
      <c r="D46" s="60">
        <f aca="true" t="shared" si="18" ref="D46:V46">SUM(D45)</f>
        <v>0</v>
      </c>
      <c r="E46" s="60">
        <f t="shared" si="18"/>
        <v>0</v>
      </c>
      <c r="F46" s="60">
        <f t="shared" si="18"/>
        <v>0</v>
      </c>
      <c r="G46" s="60">
        <f t="shared" si="18"/>
        <v>0</v>
      </c>
      <c r="H46" s="60">
        <f t="shared" si="18"/>
        <v>0</v>
      </c>
      <c r="I46" s="60">
        <f t="shared" si="18"/>
        <v>0</v>
      </c>
      <c r="J46" s="60">
        <f t="shared" si="18"/>
        <v>0</v>
      </c>
      <c r="K46" s="60">
        <f t="shared" si="18"/>
        <v>0</v>
      </c>
      <c r="L46" s="60">
        <f t="shared" si="18"/>
        <v>0</v>
      </c>
      <c r="M46" s="60">
        <f t="shared" si="18"/>
        <v>0</v>
      </c>
      <c r="N46" s="60">
        <f t="shared" si="18"/>
        <v>0</v>
      </c>
      <c r="O46" s="60">
        <f t="shared" si="18"/>
        <v>0</v>
      </c>
      <c r="P46" s="60">
        <f t="shared" si="18"/>
        <v>0</v>
      </c>
      <c r="Q46" s="60">
        <f t="shared" si="18"/>
        <v>0</v>
      </c>
      <c r="R46" s="60">
        <f t="shared" si="18"/>
        <v>0</v>
      </c>
      <c r="S46" s="60">
        <f t="shared" si="18"/>
        <v>0</v>
      </c>
      <c r="T46" s="60">
        <f t="shared" si="18"/>
        <v>0</v>
      </c>
      <c r="U46" s="60">
        <f t="shared" si="18"/>
        <v>0</v>
      </c>
      <c r="V46" s="60">
        <f t="shared" si="18"/>
        <v>0</v>
      </c>
    </row>
    <row r="47" spans="1:22" ht="13.5">
      <c r="A47" s="790" t="s">
        <v>297</v>
      </c>
      <c r="B47" s="79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  <row r="48" spans="1:22" ht="13.5">
      <c r="A48" s="792" t="s">
        <v>253</v>
      </c>
      <c r="B48" s="793"/>
      <c r="C48" s="60">
        <f>SUM(C47)</f>
        <v>0</v>
      </c>
      <c r="D48" s="60">
        <f aca="true" t="shared" si="19" ref="D48:V48">SUM(D47)</f>
        <v>0</v>
      </c>
      <c r="E48" s="60">
        <f t="shared" si="19"/>
        <v>0</v>
      </c>
      <c r="F48" s="60">
        <f t="shared" si="19"/>
        <v>0</v>
      </c>
      <c r="G48" s="60">
        <f t="shared" si="19"/>
        <v>0</v>
      </c>
      <c r="H48" s="60">
        <f t="shared" si="19"/>
        <v>0</v>
      </c>
      <c r="I48" s="60">
        <f t="shared" si="19"/>
        <v>0</v>
      </c>
      <c r="J48" s="60">
        <f t="shared" si="19"/>
        <v>0</v>
      </c>
      <c r="K48" s="60">
        <f t="shared" si="19"/>
        <v>0</v>
      </c>
      <c r="L48" s="60">
        <f t="shared" si="19"/>
        <v>0</v>
      </c>
      <c r="M48" s="60">
        <f t="shared" si="19"/>
        <v>0</v>
      </c>
      <c r="N48" s="60">
        <f t="shared" si="19"/>
        <v>0</v>
      </c>
      <c r="O48" s="60">
        <f t="shared" si="19"/>
        <v>0</v>
      </c>
      <c r="P48" s="60">
        <f t="shared" si="19"/>
        <v>0</v>
      </c>
      <c r="Q48" s="60">
        <f t="shared" si="19"/>
        <v>0</v>
      </c>
      <c r="R48" s="60">
        <f t="shared" si="19"/>
        <v>0</v>
      </c>
      <c r="S48" s="60">
        <f t="shared" si="19"/>
        <v>0</v>
      </c>
      <c r="T48" s="60">
        <f t="shared" si="19"/>
        <v>0</v>
      </c>
      <c r="U48" s="60">
        <f t="shared" si="19"/>
        <v>0</v>
      </c>
      <c r="V48" s="60">
        <f t="shared" si="19"/>
        <v>0</v>
      </c>
    </row>
    <row r="49" spans="1:22" ht="13.5">
      <c r="A49" s="790" t="s">
        <v>298</v>
      </c>
      <c r="B49" s="79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</row>
    <row r="50" spans="1:22" ht="13.5">
      <c r="A50" s="792" t="s">
        <v>253</v>
      </c>
      <c r="B50" s="793"/>
      <c r="C50" s="60">
        <f>SUM(C49)</f>
        <v>0</v>
      </c>
      <c r="D50" s="60">
        <f aca="true" t="shared" si="20" ref="D50:V50">SUM(D49)</f>
        <v>0</v>
      </c>
      <c r="E50" s="60">
        <f t="shared" si="20"/>
        <v>0</v>
      </c>
      <c r="F50" s="60">
        <f t="shared" si="20"/>
        <v>0</v>
      </c>
      <c r="G50" s="60">
        <f t="shared" si="20"/>
        <v>0</v>
      </c>
      <c r="H50" s="60">
        <f t="shared" si="20"/>
        <v>0</v>
      </c>
      <c r="I50" s="60">
        <f t="shared" si="20"/>
        <v>0</v>
      </c>
      <c r="J50" s="60">
        <f t="shared" si="20"/>
        <v>0</v>
      </c>
      <c r="K50" s="60">
        <f t="shared" si="20"/>
        <v>0</v>
      </c>
      <c r="L50" s="60">
        <f t="shared" si="20"/>
        <v>0</v>
      </c>
      <c r="M50" s="60">
        <f t="shared" si="20"/>
        <v>0</v>
      </c>
      <c r="N50" s="60">
        <f t="shared" si="20"/>
        <v>0</v>
      </c>
      <c r="O50" s="60">
        <f t="shared" si="20"/>
        <v>0</v>
      </c>
      <c r="P50" s="60">
        <f t="shared" si="20"/>
        <v>0</v>
      </c>
      <c r="Q50" s="60">
        <f t="shared" si="20"/>
        <v>0</v>
      </c>
      <c r="R50" s="60">
        <f t="shared" si="20"/>
        <v>0</v>
      </c>
      <c r="S50" s="60">
        <f t="shared" si="20"/>
        <v>0</v>
      </c>
      <c r="T50" s="60">
        <f t="shared" si="20"/>
        <v>0</v>
      </c>
      <c r="U50" s="60">
        <f t="shared" si="20"/>
        <v>0</v>
      </c>
      <c r="V50" s="60">
        <f t="shared" si="20"/>
        <v>0</v>
      </c>
    </row>
    <row r="51" spans="1:22" ht="13.5">
      <c r="A51" s="790" t="s">
        <v>299</v>
      </c>
      <c r="B51" s="791"/>
      <c r="C51" s="61"/>
      <c r="D51" s="61"/>
      <c r="E51" s="61"/>
      <c r="F51" s="61"/>
      <c r="G51" s="61"/>
      <c r="H51" s="61"/>
      <c r="I51" s="61"/>
      <c r="J51" s="61"/>
      <c r="K51" s="61"/>
      <c r="L51" s="61">
        <v>115000</v>
      </c>
      <c r="M51" s="61"/>
      <c r="N51" s="61"/>
      <c r="O51" s="61"/>
      <c r="P51" s="61"/>
      <c r="Q51" s="61"/>
      <c r="R51" s="61"/>
      <c r="S51" s="61"/>
      <c r="T51" s="61"/>
      <c r="U51" s="61"/>
      <c r="V51" s="61">
        <f>SUM(C51:U51)</f>
        <v>115000</v>
      </c>
    </row>
    <row r="52" spans="1:22" ht="13.5">
      <c r="A52" s="792" t="s">
        <v>253</v>
      </c>
      <c r="B52" s="793"/>
      <c r="C52" s="60">
        <f>SUM(C51)</f>
        <v>0</v>
      </c>
      <c r="D52" s="60">
        <f aca="true" t="shared" si="21" ref="D52:U52">SUM(D51)</f>
        <v>0</v>
      </c>
      <c r="E52" s="60">
        <f t="shared" si="21"/>
        <v>0</v>
      </c>
      <c r="F52" s="60">
        <f t="shared" si="21"/>
        <v>0</v>
      </c>
      <c r="G52" s="60">
        <f t="shared" si="21"/>
        <v>0</v>
      </c>
      <c r="H52" s="60">
        <f t="shared" si="21"/>
        <v>0</v>
      </c>
      <c r="I52" s="60">
        <f t="shared" si="21"/>
        <v>0</v>
      </c>
      <c r="J52" s="60">
        <f t="shared" si="21"/>
        <v>0</v>
      </c>
      <c r="K52" s="60">
        <f t="shared" si="21"/>
        <v>0</v>
      </c>
      <c r="L52" s="60">
        <f t="shared" si="21"/>
        <v>115000</v>
      </c>
      <c r="M52" s="60">
        <f t="shared" si="21"/>
        <v>0</v>
      </c>
      <c r="N52" s="60">
        <f t="shared" si="21"/>
        <v>0</v>
      </c>
      <c r="O52" s="60">
        <f t="shared" si="21"/>
        <v>0</v>
      </c>
      <c r="P52" s="60">
        <f t="shared" si="21"/>
        <v>0</v>
      </c>
      <c r="Q52" s="60">
        <f t="shared" si="21"/>
        <v>0</v>
      </c>
      <c r="R52" s="60">
        <f t="shared" si="21"/>
        <v>0</v>
      </c>
      <c r="S52" s="60">
        <f t="shared" si="21"/>
        <v>0</v>
      </c>
      <c r="T52" s="60">
        <f t="shared" si="21"/>
        <v>0</v>
      </c>
      <c r="U52" s="60">
        <f t="shared" si="21"/>
        <v>0</v>
      </c>
      <c r="V52" s="60">
        <f>SUM(V51)</f>
        <v>115000</v>
      </c>
    </row>
    <row r="53" spans="1:22" ht="13.5">
      <c r="A53" s="790" t="s">
        <v>300</v>
      </c>
      <c r="B53" s="79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ht="13.5">
      <c r="A54" s="792" t="s">
        <v>253</v>
      </c>
      <c r="B54" s="793"/>
      <c r="C54" s="60">
        <f>SUM(C53)</f>
        <v>0</v>
      </c>
      <c r="D54" s="60">
        <f aca="true" t="shared" si="22" ref="D54:V54">SUM(D53)</f>
        <v>0</v>
      </c>
      <c r="E54" s="60">
        <f t="shared" si="22"/>
        <v>0</v>
      </c>
      <c r="F54" s="60">
        <f t="shared" si="22"/>
        <v>0</v>
      </c>
      <c r="G54" s="60">
        <f t="shared" si="22"/>
        <v>0</v>
      </c>
      <c r="H54" s="60">
        <f t="shared" si="22"/>
        <v>0</v>
      </c>
      <c r="I54" s="60">
        <f t="shared" si="22"/>
        <v>0</v>
      </c>
      <c r="J54" s="60">
        <f t="shared" si="22"/>
        <v>0</v>
      </c>
      <c r="K54" s="60">
        <f t="shared" si="22"/>
        <v>0</v>
      </c>
      <c r="L54" s="60">
        <f t="shared" si="22"/>
        <v>0</v>
      </c>
      <c r="M54" s="60">
        <f t="shared" si="22"/>
        <v>0</v>
      </c>
      <c r="N54" s="60">
        <f t="shared" si="22"/>
        <v>0</v>
      </c>
      <c r="O54" s="60">
        <f t="shared" si="22"/>
        <v>0</v>
      </c>
      <c r="P54" s="60">
        <f t="shared" si="22"/>
        <v>0</v>
      </c>
      <c r="Q54" s="60">
        <f t="shared" si="22"/>
        <v>0</v>
      </c>
      <c r="R54" s="60">
        <f t="shared" si="22"/>
        <v>0</v>
      </c>
      <c r="S54" s="60">
        <f t="shared" si="22"/>
        <v>0</v>
      </c>
      <c r="T54" s="60">
        <f t="shared" si="22"/>
        <v>0</v>
      </c>
      <c r="U54" s="60">
        <f t="shared" si="22"/>
        <v>0</v>
      </c>
      <c r="V54" s="60">
        <f t="shared" si="22"/>
        <v>0</v>
      </c>
    </row>
    <row r="55" spans="1:22" ht="13.5">
      <c r="A55" s="790" t="s">
        <v>304</v>
      </c>
      <c r="B55" s="79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ht="13.5">
      <c r="A56" s="792" t="s">
        <v>253</v>
      </c>
      <c r="B56" s="793"/>
      <c r="C56" s="60">
        <f>SUM(C55)</f>
        <v>0</v>
      </c>
      <c r="D56" s="60">
        <f aca="true" t="shared" si="23" ref="D56:V56">SUM(D55)</f>
        <v>0</v>
      </c>
      <c r="E56" s="60">
        <f t="shared" si="23"/>
        <v>0</v>
      </c>
      <c r="F56" s="60">
        <f t="shared" si="23"/>
        <v>0</v>
      </c>
      <c r="G56" s="60">
        <f t="shared" si="23"/>
        <v>0</v>
      </c>
      <c r="H56" s="60">
        <f t="shared" si="23"/>
        <v>0</v>
      </c>
      <c r="I56" s="60">
        <f t="shared" si="23"/>
        <v>0</v>
      </c>
      <c r="J56" s="60">
        <f t="shared" si="23"/>
        <v>0</v>
      </c>
      <c r="K56" s="60">
        <f t="shared" si="23"/>
        <v>0</v>
      </c>
      <c r="L56" s="60">
        <f t="shared" si="23"/>
        <v>0</v>
      </c>
      <c r="M56" s="60">
        <f t="shared" si="23"/>
        <v>0</v>
      </c>
      <c r="N56" s="60">
        <f t="shared" si="23"/>
        <v>0</v>
      </c>
      <c r="O56" s="60">
        <f t="shared" si="23"/>
        <v>0</v>
      </c>
      <c r="P56" s="60">
        <f t="shared" si="23"/>
        <v>0</v>
      </c>
      <c r="Q56" s="60">
        <f t="shared" si="23"/>
        <v>0</v>
      </c>
      <c r="R56" s="60">
        <f t="shared" si="23"/>
        <v>0</v>
      </c>
      <c r="S56" s="60">
        <f t="shared" si="23"/>
        <v>0</v>
      </c>
      <c r="T56" s="60">
        <f t="shared" si="23"/>
        <v>0</v>
      </c>
      <c r="U56" s="60">
        <f t="shared" si="23"/>
        <v>0</v>
      </c>
      <c r="V56" s="60">
        <f t="shared" si="23"/>
        <v>0</v>
      </c>
    </row>
    <row r="57" spans="1:22" ht="13.5">
      <c r="A57" s="794" t="s">
        <v>252</v>
      </c>
      <c r="B57" s="795"/>
      <c r="C57" s="58">
        <f>SUM(C35,C37,C39,C41,C43,C45,C47,C49,C51,C53,C55)</f>
        <v>0</v>
      </c>
      <c r="D57" s="58">
        <f>SUM(D35,D37,D39,D41,D43,D45,D47,D49,D51,D53,D55)</f>
        <v>0</v>
      </c>
      <c r="E57" s="58">
        <f aca="true" t="shared" si="24" ref="E57:U57">SUM(E35,E37,E39,E41,E43,E45,E47,E49,E51,E53,E55)</f>
        <v>0</v>
      </c>
      <c r="F57" s="58">
        <f t="shared" si="24"/>
        <v>0</v>
      </c>
      <c r="G57" s="58">
        <f t="shared" si="24"/>
        <v>0</v>
      </c>
      <c r="H57" s="58">
        <f t="shared" si="24"/>
        <v>0</v>
      </c>
      <c r="I57" s="58">
        <f t="shared" si="24"/>
        <v>0</v>
      </c>
      <c r="J57" s="58">
        <f t="shared" si="24"/>
        <v>0</v>
      </c>
      <c r="K57" s="58">
        <f t="shared" si="24"/>
        <v>0</v>
      </c>
      <c r="L57" s="58">
        <f t="shared" si="24"/>
        <v>115000</v>
      </c>
      <c r="M57" s="58">
        <f t="shared" si="24"/>
        <v>0</v>
      </c>
      <c r="N57" s="58">
        <f t="shared" si="24"/>
        <v>0</v>
      </c>
      <c r="O57" s="58">
        <f t="shared" si="24"/>
        <v>0</v>
      </c>
      <c r="P57" s="58">
        <f t="shared" si="24"/>
        <v>0</v>
      </c>
      <c r="Q57" s="58">
        <f t="shared" si="24"/>
        <v>0</v>
      </c>
      <c r="R57" s="58">
        <f t="shared" si="24"/>
        <v>0</v>
      </c>
      <c r="S57" s="58">
        <f t="shared" si="24"/>
        <v>0</v>
      </c>
      <c r="T57" s="58">
        <f t="shared" si="24"/>
        <v>0</v>
      </c>
      <c r="U57" s="58">
        <f t="shared" si="24"/>
        <v>0</v>
      </c>
      <c r="V57" s="58">
        <f>SUM(V35,V37,V39,V41,V43,V45,V47,V49,V51,V53,V55)</f>
        <v>115000</v>
      </c>
    </row>
    <row r="58" spans="1:22" ht="13.5">
      <c r="A58" s="794" t="s">
        <v>253</v>
      </c>
      <c r="B58" s="795"/>
      <c r="C58" s="58">
        <f>+C56+C54+C52+C50+C48+C46+C44+C42+C40+C38+C36</f>
        <v>0</v>
      </c>
      <c r="D58" s="58">
        <f aca="true" t="shared" si="25" ref="D58:U58">+D56+D54+D52+D50+D48+D46+D44+D42+D40+D38+D36</f>
        <v>0</v>
      </c>
      <c r="E58" s="58">
        <f t="shared" si="25"/>
        <v>0</v>
      </c>
      <c r="F58" s="58">
        <f>+F56+F54+F52+F50+F48+F46+F44+F42+F40+F38+F36</f>
        <v>7704</v>
      </c>
      <c r="G58" s="58">
        <f t="shared" si="25"/>
        <v>0</v>
      </c>
      <c r="H58" s="58">
        <f t="shared" si="25"/>
        <v>0</v>
      </c>
      <c r="I58" s="58">
        <f t="shared" si="25"/>
        <v>0</v>
      </c>
      <c r="J58" s="58">
        <f t="shared" si="25"/>
        <v>0</v>
      </c>
      <c r="K58" s="58">
        <f t="shared" si="25"/>
        <v>0</v>
      </c>
      <c r="L58" s="58">
        <f>+L56+L54+L52+L50+L48+L46+L44+L42+L40+L38+L36</f>
        <v>115000</v>
      </c>
      <c r="M58" s="58">
        <f t="shared" si="25"/>
        <v>0</v>
      </c>
      <c r="N58" s="58">
        <f t="shared" si="25"/>
        <v>0</v>
      </c>
      <c r="O58" s="58">
        <f t="shared" si="25"/>
        <v>0</v>
      </c>
      <c r="P58" s="58">
        <f t="shared" si="25"/>
        <v>0</v>
      </c>
      <c r="Q58" s="58">
        <f t="shared" si="25"/>
        <v>0</v>
      </c>
      <c r="R58" s="58">
        <f t="shared" si="25"/>
        <v>0</v>
      </c>
      <c r="S58" s="58">
        <f t="shared" si="25"/>
        <v>0</v>
      </c>
      <c r="T58" s="58">
        <f t="shared" si="25"/>
        <v>0</v>
      </c>
      <c r="U58" s="58">
        <f t="shared" si="25"/>
        <v>0</v>
      </c>
      <c r="V58" s="58">
        <f>+V56+V54+V52+V50+V48+V46+V44+V42+V40+V38+V36</f>
        <v>122704</v>
      </c>
    </row>
    <row r="59" spans="1:22" ht="13.5">
      <c r="A59" s="796" t="s">
        <v>214</v>
      </c>
      <c r="B59" s="796"/>
      <c r="C59" s="796"/>
      <c r="D59" s="796"/>
      <c r="E59" s="796"/>
      <c r="F59" s="796"/>
      <c r="G59" s="796"/>
      <c r="H59" s="796"/>
      <c r="I59" s="796"/>
      <c r="J59" s="796"/>
      <c r="K59" s="796"/>
      <c r="L59" s="796"/>
      <c r="M59" s="796"/>
      <c r="N59" s="796"/>
      <c r="O59" s="796"/>
      <c r="P59" s="796"/>
      <c r="Q59" s="796"/>
      <c r="R59" s="796"/>
      <c r="S59" s="796"/>
      <c r="T59" s="796"/>
      <c r="U59" s="796"/>
      <c r="V59" s="796"/>
    </row>
    <row r="60" spans="1:22" ht="13.5">
      <c r="A60" s="796" t="s">
        <v>308</v>
      </c>
      <c r="B60" s="796"/>
      <c r="C60" s="796"/>
      <c r="D60" s="796"/>
      <c r="E60" s="796"/>
      <c r="F60" s="796"/>
      <c r="G60" s="796"/>
      <c r="H60" s="796"/>
      <c r="I60" s="796"/>
      <c r="J60" s="796"/>
      <c r="K60" s="796"/>
      <c r="L60" s="796"/>
      <c r="M60" s="796"/>
      <c r="N60" s="796"/>
      <c r="O60" s="796"/>
      <c r="P60" s="796"/>
      <c r="Q60" s="796"/>
      <c r="R60" s="796"/>
      <c r="S60" s="796"/>
      <c r="T60" s="796"/>
      <c r="U60" s="796"/>
      <c r="V60" s="796"/>
    </row>
    <row r="61" spans="1:22" ht="13.5">
      <c r="A61" s="797" t="s">
        <v>729</v>
      </c>
      <c r="B61" s="797"/>
      <c r="C61" s="797"/>
      <c r="D61" s="797"/>
      <c r="E61" s="797"/>
      <c r="F61" s="797"/>
      <c r="G61" s="797"/>
      <c r="H61" s="797"/>
      <c r="I61" s="797"/>
      <c r="J61" s="797"/>
      <c r="K61" s="797"/>
      <c r="L61" s="797"/>
      <c r="M61" s="797"/>
      <c r="N61" s="797"/>
      <c r="O61" s="797"/>
      <c r="P61" s="797"/>
      <c r="Q61" s="797"/>
      <c r="R61" s="797"/>
      <c r="S61" s="797"/>
      <c r="T61" s="797"/>
      <c r="U61" s="797"/>
      <c r="V61" s="797"/>
    </row>
    <row r="62" spans="1:22" ht="13.5">
      <c r="A62" s="798" t="s">
        <v>216</v>
      </c>
      <c r="B62" s="798"/>
      <c r="C62" s="799" t="s">
        <v>218</v>
      </c>
      <c r="D62" s="799"/>
      <c r="E62" s="595" t="s">
        <v>221</v>
      </c>
      <c r="F62" s="799" t="s">
        <v>223</v>
      </c>
      <c r="G62" s="798"/>
      <c r="H62" s="799" t="s">
        <v>237</v>
      </c>
      <c r="I62" s="798"/>
      <c r="J62" s="595" t="s">
        <v>238</v>
      </c>
      <c r="K62" s="800" t="s">
        <v>239</v>
      </c>
      <c r="L62" s="801"/>
      <c r="M62" s="802"/>
      <c r="N62" s="595" t="s">
        <v>240</v>
      </c>
      <c r="O62" s="800" t="s">
        <v>241</v>
      </c>
      <c r="P62" s="801"/>
      <c r="Q62" s="802"/>
      <c r="R62" s="799" t="s">
        <v>242</v>
      </c>
      <c r="S62" s="798"/>
      <c r="T62" s="595" t="s">
        <v>306</v>
      </c>
      <c r="U62" s="595" t="s">
        <v>243</v>
      </c>
      <c r="V62" s="803" t="s">
        <v>17</v>
      </c>
    </row>
    <row r="63" spans="1:22" ht="13.5">
      <c r="A63" s="798" t="s">
        <v>217</v>
      </c>
      <c r="B63" s="798"/>
      <c r="C63" s="595" t="s">
        <v>219</v>
      </c>
      <c r="D63" s="595" t="s">
        <v>220</v>
      </c>
      <c r="E63" s="595" t="s">
        <v>222</v>
      </c>
      <c r="F63" s="595" t="s">
        <v>224</v>
      </c>
      <c r="G63" s="595" t="s">
        <v>225</v>
      </c>
      <c r="H63" s="595" t="s">
        <v>226</v>
      </c>
      <c r="I63" s="595" t="s">
        <v>227</v>
      </c>
      <c r="J63" s="595" t="s">
        <v>228</v>
      </c>
      <c r="K63" s="595" t="s">
        <v>229</v>
      </c>
      <c r="L63" s="595" t="s">
        <v>230</v>
      </c>
      <c r="M63" s="595" t="s">
        <v>431</v>
      </c>
      <c r="N63" s="595" t="s">
        <v>231</v>
      </c>
      <c r="O63" s="595" t="s">
        <v>232</v>
      </c>
      <c r="P63" s="595" t="s">
        <v>233</v>
      </c>
      <c r="Q63" s="595" t="s">
        <v>314</v>
      </c>
      <c r="R63" s="595" t="s">
        <v>234</v>
      </c>
      <c r="S63" s="595" t="s">
        <v>235</v>
      </c>
      <c r="T63" s="595" t="s">
        <v>307</v>
      </c>
      <c r="U63" s="595" t="s">
        <v>236</v>
      </c>
      <c r="V63" s="803"/>
    </row>
    <row r="64" spans="1:22" ht="13.5">
      <c r="A64" s="790" t="s">
        <v>290</v>
      </c>
      <c r="B64" s="79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62"/>
      <c r="V64" s="62">
        <f>SUM(C64:U64)</f>
        <v>0</v>
      </c>
    </row>
    <row r="65" spans="1:22" ht="13.5">
      <c r="A65" s="792" t="s">
        <v>253</v>
      </c>
      <c r="B65" s="793"/>
      <c r="C65" s="60">
        <f>SUM(C64)</f>
        <v>0</v>
      </c>
      <c r="D65" s="60">
        <f aca="true" t="shared" si="26" ref="D65:U65">SUM(D64)</f>
        <v>0</v>
      </c>
      <c r="E65" s="60">
        <f t="shared" si="26"/>
        <v>0</v>
      </c>
      <c r="F65" s="60">
        <f t="shared" si="26"/>
        <v>0</v>
      </c>
      <c r="G65" s="60">
        <f t="shared" si="26"/>
        <v>0</v>
      </c>
      <c r="H65" s="60">
        <f t="shared" si="26"/>
        <v>0</v>
      </c>
      <c r="I65" s="60">
        <f t="shared" si="26"/>
        <v>0</v>
      </c>
      <c r="J65" s="60">
        <f t="shared" si="26"/>
        <v>0</v>
      </c>
      <c r="K65" s="60">
        <f t="shared" si="26"/>
        <v>0</v>
      </c>
      <c r="L65" s="60">
        <f t="shared" si="26"/>
        <v>0</v>
      </c>
      <c r="M65" s="60">
        <f t="shared" si="26"/>
        <v>0</v>
      </c>
      <c r="N65" s="60">
        <f t="shared" si="26"/>
        <v>0</v>
      </c>
      <c r="O65" s="60">
        <f t="shared" si="26"/>
        <v>0</v>
      </c>
      <c r="P65" s="60">
        <f t="shared" si="26"/>
        <v>0</v>
      </c>
      <c r="Q65" s="60">
        <f t="shared" si="26"/>
        <v>0</v>
      </c>
      <c r="R65" s="60">
        <f t="shared" si="26"/>
        <v>0</v>
      </c>
      <c r="S65" s="60">
        <f t="shared" si="26"/>
        <v>0</v>
      </c>
      <c r="T65" s="60">
        <f t="shared" si="26"/>
        <v>0</v>
      </c>
      <c r="U65" s="60">
        <f t="shared" si="26"/>
        <v>0</v>
      </c>
      <c r="V65" s="60">
        <f>SUM(V64)</f>
        <v>0</v>
      </c>
    </row>
    <row r="66" spans="1:22" ht="13.5">
      <c r="A66" s="790" t="s">
        <v>291</v>
      </c>
      <c r="B66" s="79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2">
        <f>SUM(C66:U66)</f>
        <v>0</v>
      </c>
    </row>
    <row r="67" spans="1:22" ht="13.5">
      <c r="A67" s="792" t="s">
        <v>253</v>
      </c>
      <c r="B67" s="793"/>
      <c r="C67" s="60">
        <f>SUM(C66)</f>
        <v>0</v>
      </c>
      <c r="D67" s="60">
        <f aca="true" t="shared" si="27" ref="D67:U67">SUM(D66)</f>
        <v>0</v>
      </c>
      <c r="E67" s="60">
        <f t="shared" si="27"/>
        <v>0</v>
      </c>
      <c r="F67" s="60">
        <f t="shared" si="27"/>
        <v>0</v>
      </c>
      <c r="G67" s="60">
        <f t="shared" si="27"/>
        <v>0</v>
      </c>
      <c r="H67" s="60">
        <f t="shared" si="27"/>
        <v>0</v>
      </c>
      <c r="I67" s="60">
        <f t="shared" si="27"/>
        <v>0</v>
      </c>
      <c r="J67" s="60">
        <f t="shared" si="27"/>
        <v>0</v>
      </c>
      <c r="K67" s="60">
        <f t="shared" si="27"/>
        <v>0</v>
      </c>
      <c r="L67" s="60">
        <f t="shared" si="27"/>
        <v>0</v>
      </c>
      <c r="M67" s="60">
        <f t="shared" si="27"/>
        <v>0</v>
      </c>
      <c r="N67" s="60">
        <f t="shared" si="27"/>
        <v>0</v>
      </c>
      <c r="O67" s="60">
        <f t="shared" si="27"/>
        <v>0</v>
      </c>
      <c r="P67" s="60">
        <f t="shared" si="27"/>
        <v>0</v>
      </c>
      <c r="Q67" s="60">
        <f t="shared" si="27"/>
        <v>0</v>
      </c>
      <c r="R67" s="60">
        <f t="shared" si="27"/>
        <v>0</v>
      </c>
      <c r="S67" s="60">
        <f t="shared" si="27"/>
        <v>0</v>
      </c>
      <c r="T67" s="60">
        <f t="shared" si="27"/>
        <v>0</v>
      </c>
      <c r="U67" s="60">
        <f t="shared" si="27"/>
        <v>0</v>
      </c>
      <c r="V67" s="60">
        <f>SUM(V66)</f>
        <v>0</v>
      </c>
    </row>
    <row r="68" spans="1:22" ht="13.5">
      <c r="A68" s="790" t="s">
        <v>292</v>
      </c>
      <c r="B68" s="79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</row>
    <row r="69" spans="1:22" ht="13.5">
      <c r="A69" s="792" t="s">
        <v>253</v>
      </c>
      <c r="B69" s="793"/>
      <c r="C69" s="60">
        <f>SUM(C68)</f>
        <v>0</v>
      </c>
      <c r="D69" s="60">
        <f aca="true" t="shared" si="28" ref="D69:U69">SUM(D68)</f>
        <v>0</v>
      </c>
      <c r="E69" s="60">
        <f t="shared" si="28"/>
        <v>0</v>
      </c>
      <c r="F69" s="60">
        <f t="shared" si="28"/>
        <v>0</v>
      </c>
      <c r="G69" s="60">
        <f t="shared" si="28"/>
        <v>0</v>
      </c>
      <c r="H69" s="60">
        <f t="shared" si="28"/>
        <v>0</v>
      </c>
      <c r="I69" s="60">
        <f t="shared" si="28"/>
        <v>0</v>
      </c>
      <c r="J69" s="60">
        <f t="shared" si="28"/>
        <v>0</v>
      </c>
      <c r="K69" s="60">
        <f t="shared" si="28"/>
        <v>0</v>
      </c>
      <c r="L69" s="60">
        <f t="shared" si="28"/>
        <v>0</v>
      </c>
      <c r="M69" s="60">
        <f t="shared" si="28"/>
        <v>0</v>
      </c>
      <c r="N69" s="60">
        <f t="shared" si="28"/>
        <v>0</v>
      </c>
      <c r="O69" s="60">
        <f t="shared" si="28"/>
        <v>0</v>
      </c>
      <c r="P69" s="60">
        <f t="shared" si="28"/>
        <v>0</v>
      </c>
      <c r="Q69" s="60">
        <f t="shared" si="28"/>
        <v>0</v>
      </c>
      <c r="R69" s="60">
        <f t="shared" si="28"/>
        <v>0</v>
      </c>
      <c r="S69" s="60">
        <f t="shared" si="28"/>
        <v>0</v>
      </c>
      <c r="T69" s="60">
        <f t="shared" si="28"/>
        <v>0</v>
      </c>
      <c r="U69" s="60">
        <f t="shared" si="28"/>
        <v>0</v>
      </c>
      <c r="V69" s="60">
        <f>SUM(V68)</f>
        <v>0</v>
      </c>
    </row>
    <row r="70" spans="1:22" ht="13.5">
      <c r="A70" s="790" t="s">
        <v>293</v>
      </c>
      <c r="B70" s="791"/>
      <c r="C70" s="61"/>
      <c r="D70" s="61"/>
      <c r="E70" s="61"/>
      <c r="F70" s="61">
        <v>0</v>
      </c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</row>
    <row r="71" spans="1:22" ht="13.5">
      <c r="A71" s="792" t="s">
        <v>253</v>
      </c>
      <c r="B71" s="793"/>
      <c r="C71" s="60">
        <f>SUM(C70+C42)</f>
        <v>0</v>
      </c>
      <c r="D71" s="60">
        <f>SUM(D70+D42)</f>
        <v>0</v>
      </c>
      <c r="E71" s="60">
        <f>SUM(E70+E42)</f>
        <v>0</v>
      </c>
      <c r="F71" s="60">
        <f>SUM(F70+F42)</f>
        <v>7704</v>
      </c>
      <c r="G71" s="60">
        <f aca="true" t="shared" si="29" ref="G71:V71">SUM(G70+G42)</f>
        <v>0</v>
      </c>
      <c r="H71" s="60">
        <f t="shared" si="29"/>
        <v>0</v>
      </c>
      <c r="I71" s="60">
        <f t="shared" si="29"/>
        <v>0</v>
      </c>
      <c r="J71" s="60">
        <f t="shared" si="29"/>
        <v>0</v>
      </c>
      <c r="K71" s="60">
        <f t="shared" si="29"/>
        <v>0</v>
      </c>
      <c r="L71" s="60">
        <f t="shared" si="29"/>
        <v>0</v>
      </c>
      <c r="M71" s="60">
        <f t="shared" si="29"/>
        <v>0</v>
      </c>
      <c r="N71" s="60">
        <f t="shared" si="29"/>
        <v>0</v>
      </c>
      <c r="O71" s="60">
        <f t="shared" si="29"/>
        <v>0</v>
      </c>
      <c r="P71" s="60">
        <f t="shared" si="29"/>
        <v>0</v>
      </c>
      <c r="Q71" s="60">
        <f t="shared" si="29"/>
        <v>0</v>
      </c>
      <c r="R71" s="60">
        <f t="shared" si="29"/>
        <v>0</v>
      </c>
      <c r="S71" s="60">
        <f t="shared" si="29"/>
        <v>0</v>
      </c>
      <c r="T71" s="60">
        <f t="shared" si="29"/>
        <v>0</v>
      </c>
      <c r="U71" s="60">
        <f t="shared" si="29"/>
        <v>0</v>
      </c>
      <c r="V71" s="60">
        <f t="shared" si="29"/>
        <v>7704</v>
      </c>
    </row>
    <row r="72" spans="1:22" ht="13.5">
      <c r="A72" s="790" t="s">
        <v>294</v>
      </c>
      <c r="B72" s="79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</row>
    <row r="73" spans="1:22" ht="13.5">
      <c r="A73" s="792" t="s">
        <v>253</v>
      </c>
      <c r="B73" s="793"/>
      <c r="C73" s="60">
        <f>SUM(C72)</f>
        <v>0</v>
      </c>
      <c r="D73" s="60">
        <f aca="true" t="shared" si="30" ref="D73:V73">SUM(D72)</f>
        <v>0</v>
      </c>
      <c r="E73" s="60">
        <f t="shared" si="30"/>
        <v>0</v>
      </c>
      <c r="F73" s="60">
        <f t="shared" si="30"/>
        <v>0</v>
      </c>
      <c r="G73" s="60">
        <f t="shared" si="30"/>
        <v>0</v>
      </c>
      <c r="H73" s="60">
        <f t="shared" si="30"/>
        <v>0</v>
      </c>
      <c r="I73" s="60">
        <f t="shared" si="30"/>
        <v>0</v>
      </c>
      <c r="J73" s="60">
        <f t="shared" si="30"/>
        <v>0</v>
      </c>
      <c r="K73" s="60">
        <f t="shared" si="30"/>
        <v>0</v>
      </c>
      <c r="L73" s="60">
        <f t="shared" si="30"/>
        <v>0</v>
      </c>
      <c r="M73" s="60">
        <f t="shared" si="30"/>
        <v>0</v>
      </c>
      <c r="N73" s="60">
        <f t="shared" si="30"/>
        <v>0</v>
      </c>
      <c r="O73" s="60">
        <f t="shared" si="30"/>
        <v>0</v>
      </c>
      <c r="P73" s="60">
        <f t="shared" si="30"/>
        <v>0</v>
      </c>
      <c r="Q73" s="60">
        <f t="shared" si="30"/>
        <v>0</v>
      </c>
      <c r="R73" s="60">
        <f t="shared" si="30"/>
        <v>0</v>
      </c>
      <c r="S73" s="60">
        <f t="shared" si="30"/>
        <v>0</v>
      </c>
      <c r="T73" s="60">
        <f t="shared" si="30"/>
        <v>0</v>
      </c>
      <c r="U73" s="60">
        <f t="shared" si="30"/>
        <v>0</v>
      </c>
      <c r="V73" s="60">
        <f t="shared" si="30"/>
        <v>0</v>
      </c>
    </row>
    <row r="74" spans="1:22" ht="13.5">
      <c r="A74" s="790" t="s">
        <v>295</v>
      </c>
      <c r="B74" s="79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</row>
    <row r="75" spans="1:22" ht="13.5">
      <c r="A75" s="792" t="s">
        <v>253</v>
      </c>
      <c r="B75" s="793"/>
      <c r="C75" s="60">
        <f>SUM(C74)</f>
        <v>0</v>
      </c>
      <c r="D75" s="60">
        <f aca="true" t="shared" si="31" ref="D75:V75">SUM(D74)</f>
        <v>0</v>
      </c>
      <c r="E75" s="60">
        <f t="shared" si="31"/>
        <v>0</v>
      </c>
      <c r="F75" s="60">
        <f t="shared" si="31"/>
        <v>0</v>
      </c>
      <c r="G75" s="60">
        <f t="shared" si="31"/>
        <v>0</v>
      </c>
      <c r="H75" s="60">
        <f t="shared" si="31"/>
        <v>0</v>
      </c>
      <c r="I75" s="60">
        <f t="shared" si="31"/>
        <v>0</v>
      </c>
      <c r="J75" s="60">
        <f t="shared" si="31"/>
        <v>0</v>
      </c>
      <c r="K75" s="60">
        <f t="shared" si="31"/>
        <v>0</v>
      </c>
      <c r="L75" s="60">
        <f t="shared" si="31"/>
        <v>0</v>
      </c>
      <c r="M75" s="60">
        <f t="shared" si="31"/>
        <v>0</v>
      </c>
      <c r="N75" s="60">
        <f t="shared" si="31"/>
        <v>0</v>
      </c>
      <c r="O75" s="60">
        <f t="shared" si="31"/>
        <v>0</v>
      </c>
      <c r="P75" s="60">
        <f t="shared" si="31"/>
        <v>0</v>
      </c>
      <c r="Q75" s="60">
        <f t="shared" si="31"/>
        <v>0</v>
      </c>
      <c r="R75" s="60">
        <f t="shared" si="31"/>
        <v>0</v>
      </c>
      <c r="S75" s="60">
        <f t="shared" si="31"/>
        <v>0</v>
      </c>
      <c r="T75" s="60">
        <f t="shared" si="31"/>
        <v>0</v>
      </c>
      <c r="U75" s="60">
        <f t="shared" si="31"/>
        <v>0</v>
      </c>
      <c r="V75" s="60">
        <f t="shared" si="31"/>
        <v>0</v>
      </c>
    </row>
    <row r="76" spans="1:22" ht="13.5">
      <c r="A76" s="790" t="s">
        <v>297</v>
      </c>
      <c r="B76" s="79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22" ht="13.5">
      <c r="A77" s="792" t="s">
        <v>253</v>
      </c>
      <c r="B77" s="793"/>
      <c r="C77" s="60">
        <f>SUM(C76)</f>
        <v>0</v>
      </c>
      <c r="D77" s="60">
        <f aca="true" t="shared" si="32" ref="D77:V77">SUM(D76)</f>
        <v>0</v>
      </c>
      <c r="E77" s="60">
        <f t="shared" si="32"/>
        <v>0</v>
      </c>
      <c r="F77" s="60">
        <f t="shared" si="32"/>
        <v>0</v>
      </c>
      <c r="G77" s="60">
        <f t="shared" si="32"/>
        <v>0</v>
      </c>
      <c r="H77" s="60">
        <f t="shared" si="32"/>
        <v>0</v>
      </c>
      <c r="I77" s="60">
        <f t="shared" si="32"/>
        <v>0</v>
      </c>
      <c r="J77" s="60">
        <f t="shared" si="32"/>
        <v>0</v>
      </c>
      <c r="K77" s="60">
        <f t="shared" si="32"/>
        <v>0</v>
      </c>
      <c r="L77" s="60">
        <f t="shared" si="32"/>
        <v>0</v>
      </c>
      <c r="M77" s="60">
        <f t="shared" si="32"/>
        <v>0</v>
      </c>
      <c r="N77" s="60">
        <f t="shared" si="32"/>
        <v>0</v>
      </c>
      <c r="O77" s="60">
        <f t="shared" si="32"/>
        <v>0</v>
      </c>
      <c r="P77" s="60">
        <f t="shared" si="32"/>
        <v>0</v>
      </c>
      <c r="Q77" s="60">
        <f t="shared" si="32"/>
        <v>0</v>
      </c>
      <c r="R77" s="60">
        <f t="shared" si="32"/>
        <v>0</v>
      </c>
      <c r="S77" s="60">
        <f t="shared" si="32"/>
        <v>0</v>
      </c>
      <c r="T77" s="60">
        <f t="shared" si="32"/>
        <v>0</v>
      </c>
      <c r="U77" s="60">
        <f t="shared" si="32"/>
        <v>0</v>
      </c>
      <c r="V77" s="60">
        <f t="shared" si="32"/>
        <v>0</v>
      </c>
    </row>
    <row r="78" spans="1:22" ht="13.5">
      <c r="A78" s="790" t="s">
        <v>298</v>
      </c>
      <c r="B78" s="79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ht="13.5">
      <c r="A79" s="792" t="s">
        <v>253</v>
      </c>
      <c r="B79" s="793"/>
      <c r="C79" s="60">
        <f>SUM(C78)</f>
        <v>0</v>
      </c>
      <c r="D79" s="60">
        <f aca="true" t="shared" si="33" ref="D79:V79">SUM(D78)</f>
        <v>0</v>
      </c>
      <c r="E79" s="60">
        <f t="shared" si="33"/>
        <v>0</v>
      </c>
      <c r="F79" s="60">
        <f t="shared" si="33"/>
        <v>0</v>
      </c>
      <c r="G79" s="60">
        <f t="shared" si="33"/>
        <v>0</v>
      </c>
      <c r="H79" s="60">
        <f t="shared" si="33"/>
        <v>0</v>
      </c>
      <c r="I79" s="60">
        <f t="shared" si="33"/>
        <v>0</v>
      </c>
      <c r="J79" s="60">
        <f t="shared" si="33"/>
        <v>0</v>
      </c>
      <c r="K79" s="60">
        <f t="shared" si="33"/>
        <v>0</v>
      </c>
      <c r="L79" s="60">
        <f t="shared" si="33"/>
        <v>0</v>
      </c>
      <c r="M79" s="60">
        <f t="shared" si="33"/>
        <v>0</v>
      </c>
      <c r="N79" s="60">
        <f t="shared" si="33"/>
        <v>0</v>
      </c>
      <c r="O79" s="60">
        <f t="shared" si="33"/>
        <v>0</v>
      </c>
      <c r="P79" s="60">
        <f t="shared" si="33"/>
        <v>0</v>
      </c>
      <c r="Q79" s="60">
        <f t="shared" si="33"/>
        <v>0</v>
      </c>
      <c r="R79" s="60">
        <f t="shared" si="33"/>
        <v>0</v>
      </c>
      <c r="S79" s="60">
        <f t="shared" si="33"/>
        <v>0</v>
      </c>
      <c r="T79" s="60">
        <f t="shared" si="33"/>
        <v>0</v>
      </c>
      <c r="U79" s="60">
        <f t="shared" si="33"/>
        <v>0</v>
      </c>
      <c r="V79" s="60">
        <f t="shared" si="33"/>
        <v>0</v>
      </c>
    </row>
    <row r="80" spans="1:22" ht="13.5">
      <c r="A80" s="790" t="s">
        <v>299</v>
      </c>
      <c r="B80" s="791"/>
      <c r="C80" s="61"/>
      <c r="D80" s="61"/>
      <c r="E80" s="61"/>
      <c r="F80" s="61"/>
      <c r="G80" s="61"/>
      <c r="H80" s="61"/>
      <c r="I80" s="61"/>
      <c r="J80" s="61"/>
      <c r="K80" s="61"/>
      <c r="L80" s="61">
        <f>94200+65600+186000</f>
        <v>345800</v>
      </c>
      <c r="M80" s="61"/>
      <c r="N80" s="61"/>
      <c r="O80" s="61"/>
      <c r="P80" s="61"/>
      <c r="Q80" s="61"/>
      <c r="R80" s="61"/>
      <c r="S80" s="61"/>
      <c r="T80" s="61"/>
      <c r="U80" s="61"/>
      <c r="V80" s="61">
        <f>SUM(C80:U80)</f>
        <v>345800</v>
      </c>
    </row>
    <row r="81" spans="1:22" ht="13.5">
      <c r="A81" s="792" t="s">
        <v>253</v>
      </c>
      <c r="B81" s="793"/>
      <c r="C81" s="60">
        <f aca="true" t="shared" si="34" ref="C81:K81">SUM(C80+C52)</f>
        <v>0</v>
      </c>
      <c r="D81" s="60">
        <f t="shared" si="34"/>
        <v>0</v>
      </c>
      <c r="E81" s="60">
        <f t="shared" si="34"/>
        <v>0</v>
      </c>
      <c r="F81" s="60">
        <f t="shared" si="34"/>
        <v>0</v>
      </c>
      <c r="G81" s="60">
        <f t="shared" si="34"/>
        <v>0</v>
      </c>
      <c r="H81" s="60">
        <f t="shared" si="34"/>
        <v>0</v>
      </c>
      <c r="I81" s="60">
        <f t="shared" si="34"/>
        <v>0</v>
      </c>
      <c r="J81" s="60">
        <f t="shared" si="34"/>
        <v>0</v>
      </c>
      <c r="K81" s="60">
        <f t="shared" si="34"/>
        <v>0</v>
      </c>
      <c r="L81" s="60">
        <f>SUM(L80+L52)</f>
        <v>460800</v>
      </c>
      <c r="M81" s="60">
        <f aca="true" t="shared" si="35" ref="M81:V81">SUM(M80+M52)</f>
        <v>0</v>
      </c>
      <c r="N81" s="60">
        <f t="shared" si="35"/>
        <v>0</v>
      </c>
      <c r="O81" s="60">
        <f t="shared" si="35"/>
        <v>0</v>
      </c>
      <c r="P81" s="60">
        <f t="shared" si="35"/>
        <v>0</v>
      </c>
      <c r="Q81" s="60">
        <f t="shared" si="35"/>
        <v>0</v>
      </c>
      <c r="R81" s="60">
        <f t="shared" si="35"/>
        <v>0</v>
      </c>
      <c r="S81" s="60">
        <f t="shared" si="35"/>
        <v>0</v>
      </c>
      <c r="T81" s="60">
        <f t="shared" si="35"/>
        <v>0</v>
      </c>
      <c r="U81" s="60">
        <f t="shared" si="35"/>
        <v>0</v>
      </c>
      <c r="V81" s="60">
        <f t="shared" si="35"/>
        <v>460800</v>
      </c>
    </row>
    <row r="82" spans="1:22" ht="13.5">
      <c r="A82" s="790" t="s">
        <v>300</v>
      </c>
      <c r="B82" s="79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spans="1:22" ht="13.5">
      <c r="A83" s="792" t="s">
        <v>253</v>
      </c>
      <c r="B83" s="793"/>
      <c r="C83" s="60">
        <f>SUM(C82)</f>
        <v>0</v>
      </c>
      <c r="D83" s="60">
        <f aca="true" t="shared" si="36" ref="D83:V83">SUM(D82)</f>
        <v>0</v>
      </c>
      <c r="E83" s="60">
        <f t="shared" si="36"/>
        <v>0</v>
      </c>
      <c r="F83" s="60">
        <f t="shared" si="36"/>
        <v>0</v>
      </c>
      <c r="G83" s="60">
        <f t="shared" si="36"/>
        <v>0</v>
      </c>
      <c r="H83" s="60">
        <f t="shared" si="36"/>
        <v>0</v>
      </c>
      <c r="I83" s="60">
        <f t="shared" si="36"/>
        <v>0</v>
      </c>
      <c r="J83" s="60">
        <f t="shared" si="36"/>
        <v>0</v>
      </c>
      <c r="K83" s="60">
        <f t="shared" si="36"/>
        <v>0</v>
      </c>
      <c r="L83" s="60">
        <f t="shared" si="36"/>
        <v>0</v>
      </c>
      <c r="M83" s="60">
        <f t="shared" si="36"/>
        <v>0</v>
      </c>
      <c r="N83" s="60">
        <f t="shared" si="36"/>
        <v>0</v>
      </c>
      <c r="O83" s="60">
        <f t="shared" si="36"/>
        <v>0</v>
      </c>
      <c r="P83" s="60">
        <f t="shared" si="36"/>
        <v>0</v>
      </c>
      <c r="Q83" s="60">
        <f t="shared" si="36"/>
        <v>0</v>
      </c>
      <c r="R83" s="60">
        <f t="shared" si="36"/>
        <v>0</v>
      </c>
      <c r="S83" s="60">
        <f t="shared" si="36"/>
        <v>0</v>
      </c>
      <c r="T83" s="60">
        <f t="shared" si="36"/>
        <v>0</v>
      </c>
      <c r="U83" s="60">
        <f t="shared" si="36"/>
        <v>0</v>
      </c>
      <c r="V83" s="60">
        <f t="shared" si="36"/>
        <v>0</v>
      </c>
    </row>
    <row r="84" spans="1:22" ht="13.5">
      <c r="A84" s="790" t="s">
        <v>304</v>
      </c>
      <c r="B84" s="79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1:22" ht="13.5">
      <c r="A85" s="792" t="s">
        <v>253</v>
      </c>
      <c r="B85" s="793"/>
      <c r="C85" s="60">
        <f>SUM(C84)</f>
        <v>0</v>
      </c>
      <c r="D85" s="60">
        <f aca="true" t="shared" si="37" ref="D85:V85">SUM(D84)</f>
        <v>0</v>
      </c>
      <c r="E85" s="60">
        <f t="shared" si="37"/>
        <v>0</v>
      </c>
      <c r="F85" s="60">
        <f t="shared" si="37"/>
        <v>0</v>
      </c>
      <c r="G85" s="60">
        <f t="shared" si="37"/>
        <v>0</v>
      </c>
      <c r="H85" s="60">
        <f t="shared" si="37"/>
        <v>0</v>
      </c>
      <c r="I85" s="60">
        <f t="shared" si="37"/>
        <v>0</v>
      </c>
      <c r="J85" s="60">
        <f t="shared" si="37"/>
        <v>0</v>
      </c>
      <c r="K85" s="60">
        <f t="shared" si="37"/>
        <v>0</v>
      </c>
      <c r="L85" s="60">
        <f t="shared" si="37"/>
        <v>0</v>
      </c>
      <c r="M85" s="60">
        <f t="shared" si="37"/>
        <v>0</v>
      </c>
      <c r="N85" s="60">
        <f t="shared" si="37"/>
        <v>0</v>
      </c>
      <c r="O85" s="60">
        <f t="shared" si="37"/>
        <v>0</v>
      </c>
      <c r="P85" s="60">
        <f t="shared" si="37"/>
        <v>0</v>
      </c>
      <c r="Q85" s="60">
        <f t="shared" si="37"/>
        <v>0</v>
      </c>
      <c r="R85" s="60">
        <f t="shared" si="37"/>
        <v>0</v>
      </c>
      <c r="S85" s="60">
        <f t="shared" si="37"/>
        <v>0</v>
      </c>
      <c r="T85" s="60">
        <f t="shared" si="37"/>
        <v>0</v>
      </c>
      <c r="U85" s="60">
        <f t="shared" si="37"/>
        <v>0</v>
      </c>
      <c r="V85" s="60">
        <f t="shared" si="37"/>
        <v>0</v>
      </c>
    </row>
    <row r="86" spans="1:22" ht="13.5">
      <c r="A86" s="794" t="s">
        <v>252</v>
      </c>
      <c r="B86" s="795"/>
      <c r="C86" s="58">
        <f>SUM(C64,C66,C68,C70,C72,C74,C76,C78,C80,C82,C84)</f>
        <v>0</v>
      </c>
      <c r="D86" s="58">
        <f>SUM(D64,D66,D68,D70,D72,D74,D76,D78,D80,D82,D84)</f>
        <v>0</v>
      </c>
      <c r="E86" s="58">
        <f aca="true" t="shared" si="38" ref="E86:U86">SUM(E64,E66,E68,E70,E72,E74,E76,E78,E80,E82,E84)</f>
        <v>0</v>
      </c>
      <c r="F86" s="58">
        <f t="shared" si="38"/>
        <v>0</v>
      </c>
      <c r="G86" s="58">
        <f t="shared" si="38"/>
        <v>0</v>
      </c>
      <c r="H86" s="58">
        <f t="shared" si="38"/>
        <v>0</v>
      </c>
      <c r="I86" s="58">
        <f t="shared" si="38"/>
        <v>0</v>
      </c>
      <c r="J86" s="58">
        <f t="shared" si="38"/>
        <v>0</v>
      </c>
      <c r="K86" s="58">
        <f t="shared" si="38"/>
        <v>0</v>
      </c>
      <c r="L86" s="58">
        <f t="shared" si="38"/>
        <v>345800</v>
      </c>
      <c r="M86" s="58">
        <f t="shared" si="38"/>
        <v>0</v>
      </c>
      <c r="N86" s="58">
        <f t="shared" si="38"/>
        <v>0</v>
      </c>
      <c r="O86" s="58">
        <f t="shared" si="38"/>
        <v>0</v>
      </c>
      <c r="P86" s="58">
        <f t="shared" si="38"/>
        <v>0</v>
      </c>
      <c r="Q86" s="58">
        <f t="shared" si="38"/>
        <v>0</v>
      </c>
      <c r="R86" s="58">
        <f t="shared" si="38"/>
        <v>0</v>
      </c>
      <c r="S86" s="58">
        <f t="shared" si="38"/>
        <v>0</v>
      </c>
      <c r="T86" s="58">
        <f t="shared" si="38"/>
        <v>0</v>
      </c>
      <c r="U86" s="58">
        <f t="shared" si="38"/>
        <v>0</v>
      </c>
      <c r="V86" s="58">
        <f>SUM(V64,V66,V68,V70,V72,V74,V76,V78,V80,V82,V84)</f>
        <v>345800</v>
      </c>
    </row>
    <row r="87" spans="1:22" ht="13.5">
      <c r="A87" s="794" t="s">
        <v>253</v>
      </c>
      <c r="B87" s="795"/>
      <c r="C87" s="58">
        <f>+C85+C83+C81+C79+C77+C75+C73+C71+C69+C67+C65</f>
        <v>0</v>
      </c>
      <c r="D87" s="58">
        <f>+D85+D83+D81+D79+D77+D75+D73+D71+D69+D67+D65</f>
        <v>0</v>
      </c>
      <c r="E87" s="58">
        <f>+E85+E83+E81+E79+E77+E75+E73+E71+E69+E67+E65</f>
        <v>0</v>
      </c>
      <c r="F87" s="58">
        <f>+F85+F83+F81+F79+F77+F75+F73+F71+F69+F67+F65</f>
        <v>7704</v>
      </c>
      <c r="G87" s="58">
        <f aca="true" t="shared" si="39" ref="G87:O87">+G85+G83+G81+G79+G77+G75+G73+G71+G69+G67+G65</f>
        <v>0</v>
      </c>
      <c r="H87" s="58">
        <f t="shared" si="39"/>
        <v>0</v>
      </c>
      <c r="I87" s="58">
        <f t="shared" si="39"/>
        <v>0</v>
      </c>
      <c r="J87" s="58">
        <f t="shared" si="39"/>
        <v>0</v>
      </c>
      <c r="K87" s="58">
        <f t="shared" si="39"/>
        <v>0</v>
      </c>
      <c r="L87" s="58">
        <f>+L85+L83+L81+L79+L77+L75+L73+L71+L69+L67+L65</f>
        <v>460800</v>
      </c>
      <c r="M87" s="58">
        <f t="shared" si="39"/>
        <v>0</v>
      </c>
      <c r="N87" s="58">
        <f t="shared" si="39"/>
        <v>0</v>
      </c>
      <c r="O87" s="58">
        <f t="shared" si="39"/>
        <v>0</v>
      </c>
      <c r="P87" s="58">
        <f aca="true" t="shared" si="40" ref="P87:U87">+P85+P83+P81+P79+P77+P75+P73+P71+P69+P67+P65</f>
        <v>0</v>
      </c>
      <c r="Q87" s="58">
        <f t="shared" si="40"/>
        <v>0</v>
      </c>
      <c r="R87" s="58">
        <f t="shared" si="40"/>
        <v>0</v>
      </c>
      <c r="S87" s="58">
        <f t="shared" si="40"/>
        <v>0</v>
      </c>
      <c r="T87" s="58">
        <f t="shared" si="40"/>
        <v>0</v>
      </c>
      <c r="U87" s="58">
        <f t="shared" si="40"/>
        <v>0</v>
      </c>
      <c r="V87" s="58">
        <f>+V85+V83+V81+V79+V77+V75+V73+V71+V69+V67+V65</f>
        <v>468504</v>
      </c>
    </row>
  </sheetData>
  <sheetProtection/>
  <mergeCells count="108">
    <mergeCell ref="A6:B6"/>
    <mergeCell ref="A7:B7"/>
    <mergeCell ref="A8:B8"/>
    <mergeCell ref="A9:B9"/>
    <mergeCell ref="A10:B10"/>
    <mergeCell ref="A1:V1"/>
    <mergeCell ref="A2:V2"/>
    <mergeCell ref="A3:V3"/>
    <mergeCell ref="A4:B4"/>
    <mergeCell ref="C4:D4"/>
    <mergeCell ref="F4:G4"/>
    <mergeCell ref="H4:I4"/>
    <mergeCell ref="K4:M4"/>
    <mergeCell ref="O4:Q4"/>
    <mergeCell ref="R4:S4"/>
    <mergeCell ref="V4:V5"/>
    <mergeCell ref="A5:B5"/>
    <mergeCell ref="A25:B25"/>
    <mergeCell ref="A26:B26"/>
    <mergeCell ref="A27:B27"/>
    <mergeCell ref="A28:B28"/>
    <mergeCell ref="A29:B29"/>
    <mergeCell ref="A11:B11"/>
    <mergeCell ref="A12:B12"/>
    <mergeCell ref="A13:B13"/>
    <mergeCell ref="A14:B14"/>
    <mergeCell ref="A24:B2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5:B35"/>
    <mergeCell ref="A36:B36"/>
    <mergeCell ref="A37:B37"/>
    <mergeCell ref="A38:B38"/>
    <mergeCell ref="A39:B39"/>
    <mergeCell ref="A30:V30"/>
    <mergeCell ref="A31:V31"/>
    <mergeCell ref="A32:V32"/>
    <mergeCell ref="A33:B33"/>
    <mergeCell ref="C33:D33"/>
    <mergeCell ref="F33:G33"/>
    <mergeCell ref="H33:I33"/>
    <mergeCell ref="K33:M33"/>
    <mergeCell ref="O33:Q33"/>
    <mergeCell ref="R33:S33"/>
    <mergeCell ref="V33:V34"/>
    <mergeCell ref="A34:B3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55:B55"/>
    <mergeCell ref="A56:B56"/>
    <mergeCell ref="A57:B57"/>
    <mergeCell ref="A58:B58"/>
    <mergeCell ref="A50:B50"/>
    <mergeCell ref="A51:B51"/>
    <mergeCell ref="A52:B52"/>
    <mergeCell ref="A53:B53"/>
    <mergeCell ref="A54:B54"/>
    <mergeCell ref="A64:B64"/>
    <mergeCell ref="A65:B65"/>
    <mergeCell ref="A66:B66"/>
    <mergeCell ref="A67:B67"/>
    <mergeCell ref="A68:B68"/>
    <mergeCell ref="A59:V59"/>
    <mergeCell ref="A60:V60"/>
    <mergeCell ref="A61:V61"/>
    <mergeCell ref="A62:B62"/>
    <mergeCell ref="C62:D62"/>
    <mergeCell ref="F62:G62"/>
    <mergeCell ref="H62:I62"/>
    <mergeCell ref="K62:M62"/>
    <mergeCell ref="O62:Q62"/>
    <mergeCell ref="R62:S62"/>
    <mergeCell ref="V62:V63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110" r:id="rId1"/>
  <rowBreaks count="2" manualBreakCount="2">
    <brk id="29" max="21" man="1"/>
    <brk id="5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1172"/>
  <sheetViews>
    <sheetView view="pageBreakPreview" zoomScaleSheetLayoutView="100" zoomScalePageLayoutView="0" workbookViewId="0" topLeftCell="A40">
      <selection activeCell="B46" sqref="B46"/>
    </sheetView>
  </sheetViews>
  <sheetFormatPr defaultColWidth="9.140625" defaultRowHeight="12.75"/>
  <cols>
    <col min="1" max="1" width="8.7109375" style="2" customWidth="1"/>
    <col min="2" max="2" width="8.8515625" style="2" customWidth="1"/>
    <col min="3" max="3" width="8.140625" style="2" customWidth="1"/>
    <col min="4" max="4" width="27.140625" style="2" customWidth="1"/>
    <col min="5" max="5" width="8.57421875" style="2" customWidth="1"/>
    <col min="6" max="7" width="13.140625" style="2" customWidth="1"/>
    <col min="8" max="8" width="13.57421875" style="2" bestFit="1" customWidth="1"/>
    <col min="9" max="9" width="12.7109375" style="2" bestFit="1" customWidth="1"/>
    <col min="10" max="10" width="9.140625" style="2" customWidth="1"/>
    <col min="11" max="11" width="11.00390625" style="2" bestFit="1" customWidth="1"/>
    <col min="12" max="16384" width="9.140625" style="2" customWidth="1"/>
  </cols>
  <sheetData>
    <row r="1" ht="18.75">
      <c r="G1" s="118" t="s">
        <v>716</v>
      </c>
    </row>
    <row r="2" ht="18.75">
      <c r="G2" s="118" t="s">
        <v>717</v>
      </c>
    </row>
    <row r="3" spans="1:7" ht="18.75">
      <c r="A3" s="700" t="s">
        <v>153</v>
      </c>
      <c r="B3" s="700"/>
      <c r="C3" s="700"/>
      <c r="D3" s="700"/>
      <c r="E3" s="700"/>
      <c r="F3" s="700"/>
      <c r="G3" s="700"/>
    </row>
    <row r="4" ht="18.75">
      <c r="A4" s="4" t="s">
        <v>138</v>
      </c>
    </row>
    <row r="5" spans="1:7" ht="18.75">
      <c r="A5" s="689" t="s">
        <v>0</v>
      </c>
      <c r="B5" s="690"/>
      <c r="C5" s="690"/>
      <c r="D5" s="690"/>
      <c r="E5" s="117" t="s">
        <v>139</v>
      </c>
      <c r="F5" s="117" t="s">
        <v>40</v>
      </c>
      <c r="G5" s="117" t="s">
        <v>1</v>
      </c>
    </row>
    <row r="6" spans="1:7" ht="18.75">
      <c r="A6" s="119" t="s">
        <v>147</v>
      </c>
      <c r="B6" s="120"/>
      <c r="C6" s="120"/>
      <c r="D6" s="120"/>
      <c r="E6" s="121">
        <v>110203</v>
      </c>
      <c r="F6" s="122">
        <f>+ใบผ่านรายการบัญชีมาตรฐาน!G92</f>
        <v>722321</v>
      </c>
      <c r="G6" s="122"/>
    </row>
    <row r="7" spans="1:7" ht="18.75">
      <c r="A7" s="123"/>
      <c r="B7" s="124" t="s">
        <v>326</v>
      </c>
      <c r="C7" s="124"/>
      <c r="D7" s="124"/>
      <c r="E7" s="121">
        <v>110201</v>
      </c>
      <c r="F7" s="125"/>
      <c r="G7" s="125">
        <f>+F6</f>
        <v>722321</v>
      </c>
    </row>
    <row r="8" spans="1:7" ht="18.75">
      <c r="A8" s="123"/>
      <c r="B8" s="124"/>
      <c r="C8" s="124"/>
      <c r="D8" s="126"/>
      <c r="F8" s="121"/>
      <c r="G8" s="125"/>
    </row>
    <row r="9" spans="1:7" ht="18.75">
      <c r="A9" s="123"/>
      <c r="B9" s="124"/>
      <c r="C9" s="124"/>
      <c r="D9" s="124"/>
      <c r="E9" s="121"/>
      <c r="F9" s="125"/>
      <c r="G9" s="125"/>
    </row>
    <row r="10" spans="1:7" ht="18.75">
      <c r="A10" s="123"/>
      <c r="B10" s="124"/>
      <c r="C10" s="124"/>
      <c r="D10" s="124"/>
      <c r="E10" s="121"/>
      <c r="F10" s="125"/>
      <c r="G10" s="145"/>
    </row>
    <row r="11" spans="1:7" ht="18.75">
      <c r="A11" s="123"/>
      <c r="B11" s="124"/>
      <c r="C11" s="124"/>
      <c r="D11" s="124"/>
      <c r="E11" s="121"/>
      <c r="F11" s="125"/>
      <c r="G11" s="125"/>
    </row>
    <row r="12" spans="1:7" ht="18.75">
      <c r="A12" s="123"/>
      <c r="B12" s="124"/>
      <c r="C12" s="124"/>
      <c r="D12" s="124"/>
      <c r="E12" s="121"/>
      <c r="F12" s="125"/>
      <c r="G12" s="125"/>
    </row>
    <row r="13" spans="1:7" ht="18.75">
      <c r="A13" s="123"/>
      <c r="B13" s="124"/>
      <c r="C13" s="124"/>
      <c r="D13" s="124"/>
      <c r="E13" s="121"/>
      <c r="F13" s="125"/>
      <c r="G13" s="125"/>
    </row>
    <row r="14" spans="1:7" ht="18.75">
      <c r="A14" s="123"/>
      <c r="B14" s="124"/>
      <c r="C14" s="124"/>
      <c r="D14" s="124"/>
      <c r="E14" s="121"/>
      <c r="F14" s="125"/>
      <c r="G14" s="125"/>
    </row>
    <row r="15" spans="1:7" ht="18.75">
      <c r="A15" s="123"/>
      <c r="B15" s="124"/>
      <c r="C15" s="124"/>
      <c r="D15" s="124"/>
      <c r="E15" s="121"/>
      <c r="F15" s="125"/>
      <c r="G15" s="125"/>
    </row>
    <row r="16" spans="1:7" ht="18.75">
      <c r="A16" s="123"/>
      <c r="B16" s="124"/>
      <c r="C16" s="124"/>
      <c r="D16" s="124"/>
      <c r="E16" s="121"/>
      <c r="F16" s="125"/>
      <c r="G16" s="125"/>
    </row>
    <row r="17" spans="1:7" ht="18.75">
      <c r="A17" s="123"/>
      <c r="B17" s="124"/>
      <c r="C17" s="124"/>
      <c r="D17" s="124"/>
      <c r="E17" s="121"/>
      <c r="F17" s="125"/>
      <c r="G17" s="125"/>
    </row>
    <row r="18" spans="1:7" ht="18.75">
      <c r="A18" s="123"/>
      <c r="B18" s="124"/>
      <c r="C18" s="124"/>
      <c r="D18" s="124"/>
      <c r="E18" s="121"/>
      <c r="F18" s="125"/>
      <c r="G18" s="125"/>
    </row>
    <row r="19" spans="1:7" ht="18.75">
      <c r="A19" s="123"/>
      <c r="B19" s="124"/>
      <c r="C19" s="124"/>
      <c r="D19" s="124"/>
      <c r="E19" s="121"/>
      <c r="F19" s="125"/>
      <c r="G19" s="125"/>
    </row>
    <row r="20" spans="1:7" ht="18.75">
      <c r="A20" s="123"/>
      <c r="B20" s="124"/>
      <c r="C20" s="124"/>
      <c r="D20" s="124"/>
      <c r="E20" s="123"/>
      <c r="F20" s="125"/>
      <c r="G20" s="125"/>
    </row>
    <row r="21" spans="1:7" ht="18.75">
      <c r="A21" s="123"/>
      <c r="B21" s="124"/>
      <c r="C21" s="124"/>
      <c r="D21" s="124"/>
      <c r="E21" s="123"/>
      <c r="F21" s="125"/>
      <c r="G21" s="125"/>
    </row>
    <row r="22" spans="1:7" ht="18.75">
      <c r="A22" s="123"/>
      <c r="B22" s="124"/>
      <c r="C22" s="124"/>
      <c r="D22" s="124"/>
      <c r="E22" s="123"/>
      <c r="F22" s="125"/>
      <c r="G22" s="125"/>
    </row>
    <row r="23" spans="1:7" ht="18.75">
      <c r="A23" s="123"/>
      <c r="B23" s="124"/>
      <c r="C23" s="124"/>
      <c r="D23" s="124"/>
      <c r="E23" s="123"/>
      <c r="F23" s="125"/>
      <c r="G23" s="125"/>
    </row>
    <row r="24" spans="1:7" ht="18.75">
      <c r="A24" s="123"/>
      <c r="B24" s="124"/>
      <c r="C24" s="124"/>
      <c r="D24" s="124"/>
      <c r="E24" s="123"/>
      <c r="F24" s="125"/>
      <c r="G24" s="125"/>
    </row>
    <row r="25" spans="1:7" ht="18.75">
      <c r="A25" s="127"/>
      <c r="B25" s="128"/>
      <c r="C25" s="128"/>
      <c r="D25" s="128"/>
      <c r="E25" s="127"/>
      <c r="F25" s="129"/>
      <c r="G25" s="129"/>
    </row>
    <row r="26" spans="6:7" ht="19.5" thickBot="1">
      <c r="F26" s="130">
        <f>SUM(F6:F25)</f>
        <v>722321</v>
      </c>
      <c r="G26" s="130">
        <f>SUM(G6:G25)</f>
        <v>722321</v>
      </c>
    </row>
    <row r="27" spans="6:7" ht="19.5" thickTop="1">
      <c r="F27" s="3"/>
      <c r="G27" s="3"/>
    </row>
    <row r="28" spans="1:7" ht="18.75">
      <c r="A28" s="4" t="s">
        <v>141</v>
      </c>
      <c r="B28" s="4" t="s">
        <v>150</v>
      </c>
      <c r="F28" s="3"/>
      <c r="G28" s="131"/>
    </row>
    <row r="29" spans="6:7" ht="18.75">
      <c r="F29" s="3"/>
      <c r="G29" s="3"/>
    </row>
    <row r="30" spans="1:7" ht="18.75">
      <c r="A30" s="693" t="s">
        <v>144</v>
      </c>
      <c r="B30" s="694"/>
      <c r="C30" s="695"/>
      <c r="D30" s="692" t="s">
        <v>143</v>
      </c>
      <c r="E30" s="692"/>
      <c r="F30" s="692" t="s">
        <v>142</v>
      </c>
      <c r="G30" s="692"/>
    </row>
    <row r="31" spans="1:7" ht="11.25" customHeight="1">
      <c r="A31" s="132"/>
      <c r="B31" s="112"/>
      <c r="C31" s="116"/>
      <c r="D31" s="132"/>
      <c r="E31" s="116"/>
      <c r="F31" s="132"/>
      <c r="G31" s="116"/>
    </row>
    <row r="32" spans="1:7" ht="18.75">
      <c r="A32" s="132"/>
      <c r="B32" s="112"/>
      <c r="C32" s="116"/>
      <c r="D32" s="132"/>
      <c r="E32" s="116"/>
      <c r="F32" s="132"/>
      <c r="G32" s="116"/>
    </row>
    <row r="33" spans="1:7" ht="18.75">
      <c r="A33" s="696" t="s">
        <v>351</v>
      </c>
      <c r="B33" s="697"/>
      <c r="C33" s="698"/>
      <c r="D33" s="696" t="s">
        <v>642</v>
      </c>
      <c r="E33" s="698"/>
      <c r="F33" s="696" t="str">
        <f>+A33</f>
        <v>(นางสาววรรณา  ผลบุญ)</v>
      </c>
      <c r="G33" s="698"/>
    </row>
    <row r="34" spans="1:7" ht="18.75">
      <c r="A34" s="696" t="s">
        <v>570</v>
      </c>
      <c r="B34" s="697"/>
      <c r="C34" s="698"/>
      <c r="D34" s="696" t="s">
        <v>36</v>
      </c>
      <c r="E34" s="698"/>
      <c r="F34" s="696" t="str">
        <f>+A34</f>
        <v>นักวิชาการเงินและบัญชี</v>
      </c>
      <c r="G34" s="698"/>
    </row>
    <row r="35" spans="1:7" ht="18.75">
      <c r="A35" s="127"/>
      <c r="B35" s="128"/>
      <c r="C35" s="133"/>
      <c r="D35" s="687"/>
      <c r="E35" s="688"/>
      <c r="F35" s="127"/>
      <c r="G35" s="133"/>
    </row>
    <row r="36" ht="18.75">
      <c r="G36" s="118" t="s">
        <v>718</v>
      </c>
    </row>
    <row r="37" ht="18.75">
      <c r="G37" s="118" t="s">
        <v>709</v>
      </c>
    </row>
    <row r="38" spans="1:7" ht="18.75">
      <c r="A38" s="700" t="s">
        <v>153</v>
      </c>
      <c r="B38" s="700"/>
      <c r="C38" s="700"/>
      <c r="D38" s="700"/>
      <c r="E38" s="700"/>
      <c r="F38" s="700"/>
      <c r="G38" s="700"/>
    </row>
    <row r="39" ht="18.75">
      <c r="A39" s="4" t="s">
        <v>138</v>
      </c>
    </row>
    <row r="40" spans="1:7" ht="18.75">
      <c r="A40" s="689" t="s">
        <v>0</v>
      </c>
      <c r="B40" s="690"/>
      <c r="C40" s="690"/>
      <c r="D40" s="699"/>
      <c r="E40" s="117" t="s">
        <v>139</v>
      </c>
      <c r="F40" s="117" t="s">
        <v>40</v>
      </c>
      <c r="G40" s="117" t="s">
        <v>1</v>
      </c>
    </row>
    <row r="41" spans="1:7" s="124" customFormat="1" ht="18.75">
      <c r="A41" s="119" t="s">
        <v>148</v>
      </c>
      <c r="B41" s="134"/>
      <c r="C41" s="134"/>
      <c r="D41" s="134"/>
      <c r="E41" s="121">
        <v>110203</v>
      </c>
      <c r="F41" s="135">
        <f>+ใบผ่านรายการบัญชีมาตรฐาน!G93</f>
        <v>5283063.790000001</v>
      </c>
      <c r="G41" s="135"/>
    </row>
    <row r="42" spans="1:7" s="124" customFormat="1" ht="18.75">
      <c r="A42" s="136"/>
      <c r="B42" s="124" t="s">
        <v>149</v>
      </c>
      <c r="C42" s="112"/>
      <c r="D42" s="112"/>
      <c r="E42" s="121">
        <v>110201</v>
      </c>
      <c r="F42" s="125"/>
      <c r="G42" s="137">
        <f>+F41</f>
        <v>5283063.790000001</v>
      </c>
    </row>
    <row r="43" spans="1:7" s="124" customFormat="1" ht="18.75">
      <c r="A43" s="138"/>
      <c r="B43" s="112"/>
      <c r="C43" s="112"/>
      <c r="D43" s="112"/>
      <c r="E43" s="121"/>
      <c r="F43" s="125"/>
      <c r="G43" s="139"/>
    </row>
    <row r="44" spans="1:7" s="124" customFormat="1" ht="18.75">
      <c r="A44" s="123"/>
      <c r="B44" s="112"/>
      <c r="C44" s="112"/>
      <c r="D44" s="112"/>
      <c r="E44" s="121"/>
      <c r="F44" s="125"/>
      <c r="G44" s="139"/>
    </row>
    <row r="45" spans="1:7" s="124" customFormat="1" ht="18.75">
      <c r="A45" s="123"/>
      <c r="B45" s="112"/>
      <c r="C45" s="112"/>
      <c r="D45" s="112"/>
      <c r="E45" s="121"/>
      <c r="F45" s="125"/>
      <c r="G45" s="139"/>
    </row>
    <row r="46" spans="1:7" s="124" customFormat="1" ht="18.75">
      <c r="A46" s="123"/>
      <c r="B46" s="112"/>
      <c r="C46" s="112"/>
      <c r="D46" s="112"/>
      <c r="E46" s="121"/>
      <c r="F46" s="125"/>
      <c r="G46" s="139"/>
    </row>
    <row r="47" spans="1:7" s="124" customFormat="1" ht="18.75">
      <c r="A47" s="138"/>
      <c r="B47" s="112"/>
      <c r="C47" s="112"/>
      <c r="D47" s="112"/>
      <c r="E47" s="121"/>
      <c r="F47" s="125"/>
      <c r="G47" s="139"/>
    </row>
    <row r="48" spans="1:7" s="124" customFormat="1" ht="18.75">
      <c r="A48" s="138"/>
      <c r="E48" s="121"/>
      <c r="F48" s="125"/>
      <c r="G48" s="125"/>
    </row>
    <row r="49" spans="1:7" s="124" customFormat="1" ht="18.75">
      <c r="A49" s="123"/>
      <c r="E49" s="121"/>
      <c r="F49" s="125"/>
      <c r="G49" s="125"/>
    </row>
    <row r="50" spans="1:7" s="124" customFormat="1" ht="18.75" hidden="1">
      <c r="A50" s="123"/>
      <c r="E50" s="121"/>
      <c r="F50" s="125"/>
      <c r="G50" s="125"/>
    </row>
    <row r="51" spans="1:7" ht="18.75" hidden="1">
      <c r="A51" s="123"/>
      <c r="B51" s="124"/>
      <c r="C51" s="124"/>
      <c r="D51" s="124"/>
      <c r="E51" s="121"/>
      <c r="F51" s="125"/>
      <c r="G51" s="125"/>
    </row>
    <row r="52" spans="1:7" ht="18.75">
      <c r="A52" s="123"/>
      <c r="B52" s="124"/>
      <c r="C52" s="124"/>
      <c r="D52" s="124"/>
      <c r="E52" s="121"/>
      <c r="F52" s="125"/>
      <c r="G52" s="125"/>
    </row>
    <row r="53" spans="1:7" ht="18.75">
      <c r="A53" s="138"/>
      <c r="B53" s="124"/>
      <c r="C53" s="124"/>
      <c r="D53" s="124"/>
      <c r="E53" s="121"/>
      <c r="F53" s="125"/>
      <c r="G53" s="125"/>
    </row>
    <row r="54" spans="1:7" ht="18.75">
      <c r="A54" s="123"/>
      <c r="B54" s="124"/>
      <c r="C54" s="124"/>
      <c r="D54" s="124"/>
      <c r="E54" s="121"/>
      <c r="F54" s="125"/>
      <c r="G54" s="125"/>
    </row>
    <row r="55" spans="1:7" ht="18.75" hidden="1">
      <c r="A55" s="123"/>
      <c r="B55" s="124"/>
      <c r="C55" s="124"/>
      <c r="D55" s="124"/>
      <c r="E55" s="121"/>
      <c r="F55" s="125"/>
      <c r="G55" s="125"/>
    </row>
    <row r="56" spans="1:7" ht="18.75" hidden="1">
      <c r="A56" s="123"/>
      <c r="B56" s="124"/>
      <c r="C56" s="124"/>
      <c r="D56" s="124"/>
      <c r="E56" s="121"/>
      <c r="F56" s="125"/>
      <c r="G56" s="125"/>
    </row>
    <row r="57" spans="1:7" ht="18.75">
      <c r="A57" s="123"/>
      <c r="B57" s="124"/>
      <c r="C57" s="124"/>
      <c r="D57" s="124"/>
      <c r="E57" s="121"/>
      <c r="F57" s="125"/>
      <c r="G57" s="125"/>
    </row>
    <row r="58" spans="1:7" ht="18.75">
      <c r="A58" s="123"/>
      <c r="B58" s="124"/>
      <c r="C58" s="124"/>
      <c r="D58" s="124"/>
      <c r="E58" s="121"/>
      <c r="F58" s="125"/>
      <c r="G58" s="125"/>
    </row>
    <row r="59" spans="1:7" ht="18.75" hidden="1">
      <c r="A59" s="123"/>
      <c r="B59" s="124"/>
      <c r="C59" s="124"/>
      <c r="D59" s="124"/>
      <c r="E59" s="121"/>
      <c r="F59" s="125"/>
      <c r="G59" s="125"/>
    </row>
    <row r="60" spans="1:7" ht="18.75" hidden="1">
      <c r="A60" s="123"/>
      <c r="B60" s="124"/>
      <c r="C60" s="124"/>
      <c r="D60" s="124"/>
      <c r="E60" s="121"/>
      <c r="F60" s="125"/>
      <c r="G60" s="125"/>
    </row>
    <row r="61" spans="1:7" ht="18.75" hidden="1">
      <c r="A61" s="123"/>
      <c r="B61" s="124"/>
      <c r="C61" s="124"/>
      <c r="D61" s="124"/>
      <c r="E61" s="121"/>
      <c r="F61" s="125"/>
      <c r="G61" s="125"/>
    </row>
    <row r="62" spans="1:7" ht="18.75">
      <c r="A62" s="127"/>
      <c r="B62" s="128"/>
      <c r="C62" s="128"/>
      <c r="D62" s="128"/>
      <c r="E62" s="140"/>
      <c r="F62" s="129"/>
      <c r="G62" s="129"/>
    </row>
    <row r="63" spans="6:7" ht="19.5" thickBot="1">
      <c r="F63" s="141">
        <f>SUM(F41:F62)</f>
        <v>5283063.790000001</v>
      </c>
      <c r="G63" s="141">
        <f>SUM(G41:G62)</f>
        <v>5283063.790000001</v>
      </c>
    </row>
    <row r="64" spans="6:7" ht="19.5" thickTop="1">
      <c r="F64" s="3"/>
      <c r="G64" s="3"/>
    </row>
    <row r="65" spans="1:7" ht="18.75">
      <c r="A65" s="4" t="s">
        <v>141</v>
      </c>
      <c r="B65" s="2" t="s">
        <v>151</v>
      </c>
      <c r="F65" s="3"/>
      <c r="G65" s="131"/>
    </row>
    <row r="66" spans="6:7" ht="18.75">
      <c r="F66" s="3"/>
      <c r="G66" s="3"/>
    </row>
    <row r="67" spans="1:7" ht="30" customHeight="1">
      <c r="A67" s="693" t="s">
        <v>144</v>
      </c>
      <c r="B67" s="694"/>
      <c r="C67" s="695"/>
      <c r="D67" s="692" t="s">
        <v>143</v>
      </c>
      <c r="E67" s="692"/>
      <c r="F67" s="692" t="s">
        <v>142</v>
      </c>
      <c r="G67" s="692"/>
    </row>
    <row r="68" spans="1:7" ht="12" customHeight="1">
      <c r="A68" s="123"/>
      <c r="B68" s="124"/>
      <c r="C68" s="126"/>
      <c r="D68" s="123"/>
      <c r="E68" s="126"/>
      <c r="F68" s="123"/>
      <c r="G68" s="126"/>
    </row>
    <row r="69" spans="1:7" ht="18.75">
      <c r="A69" s="123"/>
      <c r="B69" s="124"/>
      <c r="C69" s="126"/>
      <c r="D69" s="123"/>
      <c r="E69" s="126"/>
      <c r="F69" s="123"/>
      <c r="G69" s="126"/>
    </row>
    <row r="70" spans="1:7" ht="18.75">
      <c r="A70" s="696" t="str">
        <f>+A33</f>
        <v>(นางสาววรรณา  ผลบุญ)</v>
      </c>
      <c r="B70" s="697"/>
      <c r="C70" s="698"/>
      <c r="D70" s="696" t="str">
        <f>+D33</f>
        <v>(นางชุติมา  ลอยประเสริฐ)</v>
      </c>
      <c r="E70" s="698"/>
      <c r="F70" s="696" t="str">
        <f>+A70</f>
        <v>(นางสาววรรณา  ผลบุญ)</v>
      </c>
      <c r="G70" s="698"/>
    </row>
    <row r="71" spans="1:7" ht="17.25" customHeight="1">
      <c r="A71" s="696" t="str">
        <f>+A34</f>
        <v>นักวิชาการเงินและบัญชี</v>
      </c>
      <c r="B71" s="697"/>
      <c r="C71" s="698"/>
      <c r="D71" s="696" t="str">
        <f>+D34</f>
        <v>หัวหน้ากองคลัง</v>
      </c>
      <c r="E71" s="698"/>
      <c r="F71" s="696" t="str">
        <f>+A71</f>
        <v>นักวิชาการเงินและบัญชี</v>
      </c>
      <c r="G71" s="698"/>
    </row>
    <row r="72" spans="1:7" ht="18.75">
      <c r="A72" s="127"/>
      <c r="B72" s="128"/>
      <c r="C72" s="133"/>
      <c r="D72" s="687"/>
      <c r="E72" s="688"/>
      <c r="F72" s="127"/>
      <c r="G72" s="133"/>
    </row>
    <row r="73" spans="1:7" ht="18.75">
      <c r="A73" s="124"/>
      <c r="B73" s="124"/>
      <c r="C73" s="124"/>
      <c r="D73" s="142"/>
      <c r="E73" s="142"/>
      <c r="F73" s="124"/>
      <c r="G73" s="124"/>
    </row>
    <row r="74" spans="1:7" ht="18.75">
      <c r="A74" s="124"/>
      <c r="B74" s="124"/>
      <c r="C74" s="124"/>
      <c r="D74" s="124"/>
      <c r="E74" s="124"/>
      <c r="F74" s="124"/>
      <c r="G74" s="160" t="s">
        <v>674</v>
      </c>
    </row>
    <row r="75" spans="1:7" ht="18.75">
      <c r="A75" s="124"/>
      <c r="B75" s="124"/>
      <c r="C75" s="124"/>
      <c r="D75" s="124"/>
      <c r="E75" s="124"/>
      <c r="F75" s="124"/>
      <c r="G75" s="160" t="s">
        <v>669</v>
      </c>
    </row>
    <row r="76" spans="1:7" ht="18.75">
      <c r="A76" s="691" t="s">
        <v>153</v>
      </c>
      <c r="B76" s="691"/>
      <c r="C76" s="691"/>
      <c r="D76" s="691"/>
      <c r="E76" s="691"/>
      <c r="F76" s="691"/>
      <c r="G76" s="691"/>
    </row>
    <row r="77" spans="1:7" ht="18.75">
      <c r="A77" s="161" t="s">
        <v>138</v>
      </c>
      <c r="B77" s="128"/>
      <c r="C77" s="128"/>
      <c r="D77" s="128"/>
      <c r="E77" s="128"/>
      <c r="F77" s="128"/>
      <c r="G77" s="128"/>
    </row>
    <row r="78" spans="1:7" ht="18.75">
      <c r="A78" s="689" t="s">
        <v>0</v>
      </c>
      <c r="B78" s="690"/>
      <c r="C78" s="690"/>
      <c r="D78" s="699"/>
      <c r="E78" s="157" t="s">
        <v>139</v>
      </c>
      <c r="F78" s="157" t="s">
        <v>40</v>
      </c>
      <c r="G78" s="157" t="s">
        <v>1</v>
      </c>
    </row>
    <row r="79" spans="1:15" ht="18.75">
      <c r="A79" s="119" t="s">
        <v>149</v>
      </c>
      <c r="B79" s="155"/>
      <c r="C79" s="155"/>
      <c r="D79" s="155"/>
      <c r="E79" s="156">
        <v>110201</v>
      </c>
      <c r="F79" s="135">
        <v>91.52</v>
      </c>
      <c r="G79" s="135"/>
      <c r="I79" s="124" t="s">
        <v>671</v>
      </c>
      <c r="J79" s="500"/>
      <c r="K79" s="500"/>
      <c r="L79" s="500"/>
      <c r="M79" s="499">
        <v>110201</v>
      </c>
      <c r="N79" s="135">
        <v>6297.22</v>
      </c>
      <c r="O79" s="135"/>
    </row>
    <row r="80" spans="1:15" ht="18.75">
      <c r="A80" s="136"/>
      <c r="B80" s="124" t="s">
        <v>671</v>
      </c>
      <c r="C80" s="124"/>
      <c r="D80" s="124"/>
      <c r="E80" s="156">
        <v>110201</v>
      </c>
      <c r="F80" s="125"/>
      <c r="G80" s="137">
        <f>+F79</f>
        <v>91.52</v>
      </c>
      <c r="I80" s="136"/>
      <c r="J80" s="124"/>
      <c r="K80" s="124"/>
      <c r="L80" s="124"/>
      <c r="M80" s="499">
        <v>110201</v>
      </c>
      <c r="N80" s="125"/>
      <c r="O80" s="137">
        <f>+N79</f>
        <v>6297.22</v>
      </c>
    </row>
    <row r="81" spans="1:7" ht="18.75">
      <c r="A81" s="138"/>
      <c r="B81" s="112"/>
      <c r="C81" s="112"/>
      <c r="D81" s="112"/>
      <c r="E81" s="156"/>
      <c r="F81" s="125"/>
      <c r="G81" s="139"/>
    </row>
    <row r="82" spans="1:7" ht="18.75">
      <c r="A82" s="123"/>
      <c r="B82" s="112"/>
      <c r="C82" s="112"/>
      <c r="D82" s="112"/>
      <c r="E82" s="156"/>
      <c r="F82" s="125"/>
      <c r="G82" s="139"/>
    </row>
    <row r="83" spans="1:7" ht="18.75">
      <c r="A83" s="123"/>
      <c r="B83" s="112"/>
      <c r="C83" s="112"/>
      <c r="D83" s="112"/>
      <c r="E83" s="156"/>
      <c r="F83" s="125"/>
      <c r="G83" s="139"/>
    </row>
    <row r="84" spans="1:7" ht="18.75">
      <c r="A84" s="123"/>
      <c r="B84" s="112"/>
      <c r="C84" s="112"/>
      <c r="D84" s="112"/>
      <c r="E84" s="156"/>
      <c r="F84" s="125"/>
      <c r="G84" s="139"/>
    </row>
    <row r="85" spans="1:9" ht="18.75">
      <c r="A85" s="138"/>
      <c r="B85" s="112"/>
      <c r="C85" s="112"/>
      <c r="D85" s="112"/>
      <c r="E85" s="156"/>
      <c r="F85" s="125"/>
      <c r="G85" s="139"/>
      <c r="I85" s="3">
        <f>2312430.63+30000+45000+2250</f>
        <v>2389680.63</v>
      </c>
    </row>
    <row r="86" spans="1:7" ht="18.75">
      <c r="A86" s="138"/>
      <c r="B86" s="124"/>
      <c r="C86" s="124"/>
      <c r="D86" s="124"/>
      <c r="E86" s="156"/>
      <c r="F86" s="125"/>
      <c r="G86" s="125"/>
    </row>
    <row r="87" spans="1:7" ht="18.75">
      <c r="A87" s="123"/>
      <c r="B87" s="124"/>
      <c r="C87" s="124"/>
      <c r="D87" s="124"/>
      <c r="E87" s="156"/>
      <c r="F87" s="125"/>
      <c r="G87" s="125"/>
    </row>
    <row r="88" spans="1:7" ht="18.75">
      <c r="A88" s="123"/>
      <c r="B88" s="124"/>
      <c r="C88" s="124"/>
      <c r="D88" s="124"/>
      <c r="E88" s="156"/>
      <c r="F88" s="125"/>
      <c r="G88" s="125"/>
    </row>
    <row r="89" spans="1:7" ht="18.75">
      <c r="A89" s="123"/>
      <c r="B89" s="124"/>
      <c r="C89" s="124"/>
      <c r="D89" s="124"/>
      <c r="E89" s="156"/>
      <c r="F89" s="125"/>
      <c r="G89" s="125"/>
    </row>
    <row r="90" spans="1:7" ht="18.75">
      <c r="A90" s="123"/>
      <c r="B90" s="124"/>
      <c r="C90" s="124"/>
      <c r="D90" s="124"/>
      <c r="E90" s="156"/>
      <c r="F90" s="125"/>
      <c r="G90" s="125"/>
    </row>
    <row r="91" spans="1:7" ht="18.75">
      <c r="A91" s="138"/>
      <c r="B91" s="124"/>
      <c r="C91" s="124"/>
      <c r="D91" s="124"/>
      <c r="E91" s="156"/>
      <c r="F91" s="125"/>
      <c r="G91" s="125"/>
    </row>
    <row r="92" spans="1:7" ht="18.75">
      <c r="A92" s="123"/>
      <c r="B92" s="124"/>
      <c r="C92" s="124"/>
      <c r="D92" s="124"/>
      <c r="E92" s="156"/>
      <c r="F92" s="125"/>
      <c r="G92" s="125"/>
    </row>
    <row r="93" spans="1:7" ht="18.75">
      <c r="A93" s="123"/>
      <c r="B93" s="124"/>
      <c r="C93" s="124"/>
      <c r="D93" s="124"/>
      <c r="E93" s="156"/>
      <c r="F93" s="125"/>
      <c r="G93" s="125"/>
    </row>
    <row r="94" spans="1:7" ht="18.75">
      <c r="A94" s="123"/>
      <c r="B94" s="124"/>
      <c r="C94" s="124"/>
      <c r="D94" s="124"/>
      <c r="E94" s="156"/>
      <c r="F94" s="125"/>
      <c r="G94" s="125"/>
    </row>
    <row r="95" spans="1:7" ht="18.75">
      <c r="A95" s="127"/>
      <c r="B95" s="128"/>
      <c r="C95" s="128"/>
      <c r="D95" s="128"/>
      <c r="E95" s="140"/>
      <c r="F95" s="129"/>
      <c r="G95" s="129"/>
    </row>
    <row r="96" spans="6:7" ht="19.5" thickBot="1">
      <c r="F96" s="141">
        <f>SUM(F79:F95)</f>
        <v>91.52</v>
      </c>
      <c r="G96" s="141">
        <f>SUM(G79:G95)</f>
        <v>91.52</v>
      </c>
    </row>
    <row r="97" spans="6:7" ht="19.5" thickTop="1">
      <c r="F97" s="3"/>
      <c r="G97" s="3"/>
    </row>
    <row r="98" spans="1:7" ht="18.75">
      <c r="A98" s="4" t="s">
        <v>141</v>
      </c>
      <c r="B98" s="2" t="s">
        <v>672</v>
      </c>
      <c r="F98" s="3"/>
      <c r="G98" s="131"/>
    </row>
    <row r="99" spans="1:7" ht="18.75">
      <c r="A99" s="2" t="s">
        <v>673</v>
      </c>
      <c r="F99" s="3"/>
      <c r="G99" s="3"/>
    </row>
    <row r="100" spans="1:7" ht="18.75">
      <c r="A100" s="693" t="s">
        <v>144</v>
      </c>
      <c r="B100" s="694"/>
      <c r="C100" s="695"/>
      <c r="D100" s="692" t="s">
        <v>143</v>
      </c>
      <c r="E100" s="692"/>
      <c r="F100" s="692" t="s">
        <v>142</v>
      </c>
      <c r="G100" s="692"/>
    </row>
    <row r="101" spans="1:7" ht="18.75">
      <c r="A101" s="123"/>
      <c r="B101" s="124"/>
      <c r="C101" s="126"/>
      <c r="D101" s="123"/>
      <c r="E101" s="126"/>
      <c r="F101" s="123"/>
      <c r="G101" s="126"/>
    </row>
    <row r="102" spans="1:7" ht="18.75">
      <c r="A102" s="696" t="s">
        <v>351</v>
      </c>
      <c r="B102" s="697"/>
      <c r="C102" s="698"/>
      <c r="D102" s="696" t="s">
        <v>642</v>
      </c>
      <c r="E102" s="698"/>
      <c r="F102" s="696" t="str">
        <f>+A102</f>
        <v>(นางสาววรรณา  ผลบุญ)</v>
      </c>
      <c r="G102" s="698"/>
    </row>
    <row r="103" spans="1:7" ht="18.75">
      <c r="A103" s="696" t="s">
        <v>570</v>
      </c>
      <c r="B103" s="697"/>
      <c r="C103" s="698"/>
      <c r="D103" s="696" t="s">
        <v>36</v>
      </c>
      <c r="E103" s="698"/>
      <c r="F103" s="696" t="str">
        <f>+A103</f>
        <v>นักวิชาการเงินและบัญชี</v>
      </c>
      <c r="G103" s="698"/>
    </row>
    <row r="104" spans="1:7" ht="18.75">
      <c r="A104" s="687"/>
      <c r="B104" s="701"/>
      <c r="C104" s="688"/>
      <c r="D104" s="687"/>
      <c r="E104" s="688"/>
      <c r="F104" s="687"/>
      <c r="G104" s="688"/>
    </row>
    <row r="105" ht="18.75">
      <c r="G105" s="118" t="s">
        <v>432</v>
      </c>
    </row>
    <row r="106" ht="18.75">
      <c r="G106" s="118" t="s">
        <v>433</v>
      </c>
    </row>
    <row r="107" spans="1:7" ht="18.75">
      <c r="A107" s="700" t="s">
        <v>153</v>
      </c>
      <c r="B107" s="700"/>
      <c r="C107" s="700"/>
      <c r="D107" s="700"/>
      <c r="E107" s="700"/>
      <c r="F107" s="700"/>
      <c r="G107" s="700"/>
    </row>
    <row r="108" ht="18.75">
      <c r="A108" s="4" t="s">
        <v>138</v>
      </c>
    </row>
    <row r="109" spans="1:7" ht="18.75">
      <c r="A109" s="24" t="s">
        <v>0</v>
      </c>
      <c r="B109" s="143"/>
      <c r="C109" s="143"/>
      <c r="D109" s="143"/>
      <c r="E109" s="117" t="s">
        <v>139</v>
      </c>
      <c r="F109" s="117" t="s">
        <v>40</v>
      </c>
      <c r="G109" s="117" t="s">
        <v>1</v>
      </c>
    </row>
    <row r="110" spans="1:7" ht="18.75">
      <c r="A110" s="144" t="s">
        <v>413</v>
      </c>
      <c r="B110" s="134"/>
      <c r="C110" s="134"/>
      <c r="D110" s="134"/>
      <c r="E110" s="121">
        <v>230199</v>
      </c>
      <c r="F110" s="135">
        <v>50000</v>
      </c>
      <c r="G110" s="135"/>
    </row>
    <row r="111" spans="1:7" ht="18.75">
      <c r="A111" s="136"/>
      <c r="B111" s="124" t="s">
        <v>414</v>
      </c>
      <c r="E111" s="121">
        <v>110605</v>
      </c>
      <c r="F111" s="145"/>
      <c r="G111" s="125">
        <f>+F110</f>
        <v>50000</v>
      </c>
    </row>
    <row r="112" spans="1:7" ht="18.75">
      <c r="A112" s="138"/>
      <c r="B112" s="124"/>
      <c r="E112" s="146"/>
      <c r="F112" s="145"/>
      <c r="G112" s="125"/>
    </row>
    <row r="113" spans="1:7" ht="18.75">
      <c r="A113" s="138"/>
      <c r="B113" s="124"/>
      <c r="E113" s="145"/>
      <c r="F113" s="145"/>
      <c r="G113" s="125"/>
    </row>
    <row r="114" spans="1:7" ht="18.75" hidden="1">
      <c r="A114" s="138"/>
      <c r="B114" s="124"/>
      <c r="E114" s="145"/>
      <c r="F114" s="145"/>
      <c r="G114" s="125"/>
    </row>
    <row r="115" spans="1:7" ht="18.75" hidden="1">
      <c r="A115" s="123"/>
      <c r="B115" s="124"/>
      <c r="E115" s="145"/>
      <c r="F115" s="145"/>
      <c r="G115" s="125"/>
    </row>
    <row r="116" spans="1:7" ht="18.75" hidden="1">
      <c r="A116" s="123"/>
      <c r="B116" s="124"/>
      <c r="E116" s="145"/>
      <c r="F116" s="145"/>
      <c r="G116" s="125"/>
    </row>
    <row r="117" spans="1:7" ht="18.75">
      <c r="A117" s="123"/>
      <c r="B117" s="124"/>
      <c r="E117" s="145"/>
      <c r="F117" s="145"/>
      <c r="G117" s="125"/>
    </row>
    <row r="118" spans="1:7" ht="18.75">
      <c r="A118" s="123"/>
      <c r="B118" s="124"/>
      <c r="E118" s="145"/>
      <c r="F118" s="145"/>
      <c r="G118" s="125"/>
    </row>
    <row r="119" spans="1:7" ht="18.75">
      <c r="A119" s="123"/>
      <c r="B119" s="124"/>
      <c r="E119" s="145"/>
      <c r="F119" s="145"/>
      <c r="G119" s="125"/>
    </row>
    <row r="120" spans="1:7" ht="18.75" hidden="1">
      <c r="A120" s="123"/>
      <c r="B120" s="124"/>
      <c r="E120" s="145"/>
      <c r="F120" s="145"/>
      <c r="G120" s="125"/>
    </row>
    <row r="121" spans="1:7" ht="18.75" hidden="1">
      <c r="A121" s="123"/>
      <c r="B121" s="124"/>
      <c r="E121" s="145"/>
      <c r="F121" s="145"/>
      <c r="G121" s="125"/>
    </row>
    <row r="122" spans="1:7" ht="18.75">
      <c r="A122" s="123"/>
      <c r="B122" s="124"/>
      <c r="E122" s="145"/>
      <c r="F122" s="145"/>
      <c r="G122" s="125"/>
    </row>
    <row r="123" spans="1:7" ht="18.75">
      <c r="A123" s="123"/>
      <c r="B123" s="124"/>
      <c r="E123" s="145"/>
      <c r="F123" s="145"/>
      <c r="G123" s="125"/>
    </row>
    <row r="124" spans="1:7" ht="18.75">
      <c r="A124" s="123"/>
      <c r="B124" s="124"/>
      <c r="E124" s="145"/>
      <c r="F124" s="145"/>
      <c r="G124" s="125"/>
    </row>
    <row r="125" spans="1:7" ht="18.75">
      <c r="A125" s="123"/>
      <c r="B125" s="124"/>
      <c r="E125" s="145"/>
      <c r="F125" s="145"/>
      <c r="G125" s="125"/>
    </row>
    <row r="126" spans="1:7" ht="18.75">
      <c r="A126" s="123"/>
      <c r="B126" s="124"/>
      <c r="E126" s="145"/>
      <c r="F126" s="145"/>
      <c r="G126" s="125"/>
    </row>
    <row r="127" spans="1:7" ht="18.75">
      <c r="A127" s="127"/>
      <c r="B127" s="128"/>
      <c r="C127" s="128"/>
      <c r="D127" s="128"/>
      <c r="E127" s="127"/>
      <c r="F127" s="129"/>
      <c r="G127" s="129"/>
    </row>
    <row r="128" spans="6:7" ht="19.5" thickBot="1">
      <c r="F128" s="130">
        <f>SUM(F110:F127)</f>
        <v>50000</v>
      </c>
      <c r="G128" s="130">
        <f>SUM(G110:G127)</f>
        <v>50000</v>
      </c>
    </row>
    <row r="129" spans="6:7" ht="19.5" thickTop="1">
      <c r="F129" s="3"/>
      <c r="G129" s="3"/>
    </row>
    <row r="130" spans="1:7" ht="18.75">
      <c r="A130" s="4" t="s">
        <v>141</v>
      </c>
      <c r="B130" s="4" t="s">
        <v>415</v>
      </c>
      <c r="F130" s="3"/>
      <c r="G130" s="131"/>
    </row>
    <row r="131" spans="1:7" ht="18.75">
      <c r="A131" s="4" t="s">
        <v>416</v>
      </c>
      <c r="F131" s="3"/>
      <c r="G131" s="3"/>
    </row>
    <row r="132" spans="1:7" ht="18.75">
      <c r="A132" s="4" t="s">
        <v>439</v>
      </c>
      <c r="B132" s="4"/>
      <c r="F132" s="3"/>
      <c r="G132" s="3"/>
    </row>
    <row r="133" spans="1:7" ht="18.75">
      <c r="A133" s="4"/>
      <c r="B133" s="4"/>
      <c r="F133" s="3"/>
      <c r="G133" s="3"/>
    </row>
    <row r="134" spans="1:7" ht="18.75">
      <c r="A134" s="693" t="s">
        <v>144</v>
      </c>
      <c r="B134" s="694"/>
      <c r="C134" s="695"/>
      <c r="D134" s="692" t="s">
        <v>143</v>
      </c>
      <c r="E134" s="692"/>
      <c r="F134" s="692" t="s">
        <v>142</v>
      </c>
      <c r="G134" s="692"/>
    </row>
    <row r="135" spans="1:7" ht="23.25" customHeight="1">
      <c r="A135" s="123"/>
      <c r="B135" s="124"/>
      <c r="C135" s="126"/>
      <c r="D135" s="123"/>
      <c r="E135" s="126"/>
      <c r="F135" s="123"/>
      <c r="G135" s="126"/>
    </row>
    <row r="136" spans="1:7" ht="18.75">
      <c r="A136" s="696" t="s">
        <v>351</v>
      </c>
      <c r="B136" s="697"/>
      <c r="C136" s="698"/>
      <c r="D136" s="696" t="s">
        <v>33</v>
      </c>
      <c r="E136" s="698"/>
      <c r="F136" s="696" t="str">
        <f>+A136</f>
        <v>(นางสาววรรณา  ผลบุญ)</v>
      </c>
      <c r="G136" s="698"/>
    </row>
    <row r="137" spans="1:7" ht="18.75">
      <c r="A137" s="696" t="s">
        <v>352</v>
      </c>
      <c r="B137" s="697"/>
      <c r="C137" s="698"/>
      <c r="D137" s="696" t="s">
        <v>389</v>
      </c>
      <c r="E137" s="698"/>
      <c r="F137" s="696" t="str">
        <f>+A137</f>
        <v>เจ้าพนักงานการเงินและบัญชี</v>
      </c>
      <c r="G137" s="698"/>
    </row>
    <row r="138" spans="1:7" ht="18.75">
      <c r="A138" s="127"/>
      <c r="B138" s="128"/>
      <c r="C138" s="133"/>
      <c r="D138" s="687" t="s">
        <v>36</v>
      </c>
      <c r="E138" s="688"/>
      <c r="F138" s="127"/>
      <c r="G138" s="133"/>
    </row>
    <row r="142" ht="18.75">
      <c r="G142" s="118" t="s">
        <v>480</v>
      </c>
    </row>
    <row r="143" ht="18.75">
      <c r="G143" s="118" t="s">
        <v>478</v>
      </c>
    </row>
    <row r="144" spans="1:7" ht="18.75">
      <c r="A144" s="700" t="s">
        <v>153</v>
      </c>
      <c r="B144" s="700"/>
      <c r="C144" s="700"/>
      <c r="D144" s="700"/>
      <c r="E144" s="700"/>
      <c r="F144" s="700"/>
      <c r="G144" s="700"/>
    </row>
    <row r="145" ht="18.75">
      <c r="A145" s="4" t="s">
        <v>138</v>
      </c>
    </row>
    <row r="146" spans="1:7" ht="18.75">
      <c r="A146" s="24" t="s">
        <v>0</v>
      </c>
      <c r="B146" s="143"/>
      <c r="C146" s="143"/>
      <c r="D146" s="143"/>
      <c r="E146" s="117" t="s">
        <v>139</v>
      </c>
      <c r="F146" s="117" t="s">
        <v>40</v>
      </c>
      <c r="G146" s="117" t="s">
        <v>1</v>
      </c>
    </row>
    <row r="147" spans="1:7" ht="18.75">
      <c r="A147" s="144" t="s">
        <v>448</v>
      </c>
      <c r="B147" s="134"/>
      <c r="C147" s="134"/>
      <c r="D147" s="134"/>
      <c r="E147" s="147">
        <v>410000</v>
      </c>
      <c r="F147" s="135">
        <v>60000</v>
      </c>
      <c r="G147" s="135"/>
    </row>
    <row r="148" spans="1:7" ht="18.75">
      <c r="A148" s="136"/>
      <c r="B148" s="124" t="s">
        <v>152</v>
      </c>
      <c r="E148" s="146">
        <v>110606</v>
      </c>
      <c r="F148" s="145"/>
      <c r="G148" s="125">
        <f>+F147</f>
        <v>60000</v>
      </c>
    </row>
    <row r="149" spans="1:13" ht="18.75">
      <c r="A149" s="138"/>
      <c r="B149" s="124"/>
      <c r="E149" s="145"/>
      <c r="F149" s="145"/>
      <c r="G149" s="125"/>
      <c r="M149" s="2">
        <f>21280/2</f>
        <v>10640</v>
      </c>
    </row>
    <row r="150" spans="1:7" ht="18.75">
      <c r="A150" s="138"/>
      <c r="B150" s="124"/>
      <c r="E150" s="145"/>
      <c r="F150" s="145"/>
      <c r="G150" s="125"/>
    </row>
    <row r="151" spans="1:7" ht="18.75">
      <c r="A151" s="138"/>
      <c r="B151" s="124"/>
      <c r="E151" s="145"/>
      <c r="F151" s="145"/>
      <c r="G151" s="125"/>
    </row>
    <row r="152" spans="1:7" ht="18.75">
      <c r="A152" s="123"/>
      <c r="B152" s="124"/>
      <c r="E152" s="145"/>
      <c r="F152" s="145"/>
      <c r="G152" s="125"/>
    </row>
    <row r="153" spans="1:7" ht="18.75">
      <c r="A153" s="123"/>
      <c r="B153" s="124"/>
      <c r="E153" s="145"/>
      <c r="F153" s="145"/>
      <c r="G153" s="125"/>
    </row>
    <row r="154" spans="1:7" ht="18.75">
      <c r="A154" s="123"/>
      <c r="B154" s="124"/>
      <c r="E154" s="145"/>
      <c r="F154" s="145"/>
      <c r="G154" s="125"/>
    </row>
    <row r="155" spans="1:7" ht="18.75">
      <c r="A155" s="123"/>
      <c r="B155" s="124"/>
      <c r="E155" s="145"/>
      <c r="F155" s="145"/>
      <c r="G155" s="125"/>
    </row>
    <row r="156" spans="1:7" ht="18.75">
      <c r="A156" s="123"/>
      <c r="B156" s="124"/>
      <c r="E156" s="145"/>
      <c r="F156" s="145"/>
      <c r="G156" s="125"/>
    </row>
    <row r="157" spans="1:7" ht="18.75">
      <c r="A157" s="123"/>
      <c r="B157" s="124"/>
      <c r="E157" s="145"/>
      <c r="F157" s="145"/>
      <c r="G157" s="125"/>
    </row>
    <row r="158" spans="1:7" ht="18.75">
      <c r="A158" s="123"/>
      <c r="B158" s="124"/>
      <c r="E158" s="145"/>
      <c r="F158" s="145"/>
      <c r="G158" s="125"/>
    </row>
    <row r="159" spans="1:7" ht="18.75">
      <c r="A159" s="123"/>
      <c r="B159" s="124"/>
      <c r="E159" s="145"/>
      <c r="F159" s="145"/>
      <c r="G159" s="125"/>
    </row>
    <row r="160" spans="1:7" ht="18.75">
      <c r="A160" s="123"/>
      <c r="B160" s="124"/>
      <c r="E160" s="145"/>
      <c r="F160" s="145"/>
      <c r="G160" s="125"/>
    </row>
    <row r="161" spans="1:7" ht="18.75">
      <c r="A161" s="123"/>
      <c r="B161" s="124"/>
      <c r="E161" s="145"/>
      <c r="F161" s="145"/>
      <c r="G161" s="125"/>
    </row>
    <row r="162" spans="1:7" ht="18.75">
      <c r="A162" s="123"/>
      <c r="B162" s="124"/>
      <c r="E162" s="145"/>
      <c r="F162" s="145"/>
      <c r="G162" s="125"/>
    </row>
    <row r="163" spans="1:7" ht="18.75">
      <c r="A163" s="127"/>
      <c r="B163" s="128"/>
      <c r="C163" s="128"/>
      <c r="D163" s="128"/>
      <c r="E163" s="127"/>
      <c r="F163" s="129"/>
      <c r="G163" s="129"/>
    </row>
    <row r="164" spans="6:7" ht="19.5" thickBot="1">
      <c r="F164" s="130">
        <f>SUM(F147:F163)</f>
        <v>60000</v>
      </c>
      <c r="G164" s="130">
        <f>SUM(G147:G163)</f>
        <v>60000</v>
      </c>
    </row>
    <row r="165" spans="6:7" ht="19.5" thickTop="1">
      <c r="F165" s="3"/>
      <c r="G165" s="3"/>
    </row>
    <row r="166" spans="1:7" ht="18.75">
      <c r="A166" s="4" t="s">
        <v>141</v>
      </c>
      <c r="B166" s="4" t="s">
        <v>481</v>
      </c>
      <c r="F166" s="3"/>
      <c r="G166" s="131"/>
    </row>
    <row r="167" spans="2:7" ht="18.75">
      <c r="B167" s="4" t="s">
        <v>482</v>
      </c>
      <c r="F167" s="3"/>
      <c r="G167" s="3"/>
    </row>
    <row r="168" spans="2:7" ht="18.75" hidden="1">
      <c r="B168" s="4"/>
      <c r="F168" s="3"/>
      <c r="G168" s="3"/>
    </row>
    <row r="169" spans="2:7" ht="18.75">
      <c r="B169" s="4"/>
      <c r="F169" s="3"/>
      <c r="G169" s="3"/>
    </row>
    <row r="170" spans="1:7" ht="18.75">
      <c r="A170" s="693" t="s">
        <v>144</v>
      </c>
      <c r="B170" s="694"/>
      <c r="C170" s="695"/>
      <c r="D170" s="692" t="s">
        <v>143</v>
      </c>
      <c r="E170" s="692"/>
      <c r="F170" s="692" t="s">
        <v>142</v>
      </c>
      <c r="G170" s="692"/>
    </row>
    <row r="171" spans="1:7" ht="9" customHeight="1">
      <c r="A171" s="123"/>
      <c r="B171" s="124"/>
      <c r="C171" s="126"/>
      <c r="D171" s="123"/>
      <c r="E171" s="126"/>
      <c r="F171" s="123"/>
      <c r="G171" s="126"/>
    </row>
    <row r="172" spans="1:7" ht="18.75">
      <c r="A172" s="123"/>
      <c r="B172" s="124"/>
      <c r="C172" s="126"/>
      <c r="D172" s="123"/>
      <c r="E172" s="126"/>
      <c r="F172" s="123"/>
      <c r="G172" s="126"/>
    </row>
    <row r="173" spans="1:7" ht="18.75">
      <c r="A173" s="696" t="s">
        <v>351</v>
      </c>
      <c r="B173" s="697"/>
      <c r="C173" s="698"/>
      <c r="D173" s="696" t="s">
        <v>412</v>
      </c>
      <c r="E173" s="698"/>
      <c r="F173" s="696" t="str">
        <f>+A173</f>
        <v>(นางสาววรรณา  ผลบุญ)</v>
      </c>
      <c r="G173" s="698"/>
    </row>
    <row r="174" spans="1:7" ht="18.75">
      <c r="A174" s="696" t="s">
        <v>352</v>
      </c>
      <c r="B174" s="697"/>
      <c r="C174" s="698"/>
      <c r="D174" s="696" t="s">
        <v>389</v>
      </c>
      <c r="E174" s="698"/>
      <c r="F174" s="696" t="str">
        <f>+A174</f>
        <v>เจ้าพนักงานการเงินและบัญชี</v>
      </c>
      <c r="G174" s="698"/>
    </row>
    <row r="175" spans="1:7" ht="18.75">
      <c r="A175" s="127"/>
      <c r="B175" s="128"/>
      <c r="C175" s="133"/>
      <c r="D175" s="687" t="s">
        <v>36</v>
      </c>
      <c r="E175" s="688"/>
      <c r="F175" s="127"/>
      <c r="G175" s="133"/>
    </row>
    <row r="176" ht="18.75">
      <c r="G176" s="118" t="s">
        <v>483</v>
      </c>
    </row>
    <row r="177" ht="18.75">
      <c r="G177" s="118" t="s">
        <v>478</v>
      </c>
    </row>
    <row r="178" spans="1:7" ht="18.75">
      <c r="A178" s="700" t="s">
        <v>153</v>
      </c>
      <c r="B178" s="700"/>
      <c r="C178" s="700"/>
      <c r="D178" s="700"/>
      <c r="E178" s="700"/>
      <c r="F178" s="700"/>
      <c r="G178" s="700"/>
    </row>
    <row r="179" ht="18.75">
      <c r="A179" s="4" t="s">
        <v>138</v>
      </c>
    </row>
    <row r="180" spans="1:7" ht="18.75">
      <c r="A180" s="169" t="s">
        <v>0</v>
      </c>
      <c r="B180" s="170"/>
      <c r="C180" s="170"/>
      <c r="D180" s="170"/>
      <c r="E180" s="171" t="s">
        <v>139</v>
      </c>
      <c r="F180" s="171" t="s">
        <v>40</v>
      </c>
      <c r="G180" s="171" t="s">
        <v>1</v>
      </c>
    </row>
    <row r="181" spans="1:7" ht="18.75">
      <c r="A181" s="144" t="s">
        <v>449</v>
      </c>
      <c r="B181" s="168"/>
      <c r="C181" s="168"/>
      <c r="D181" s="168"/>
      <c r="E181" s="147">
        <v>410000</v>
      </c>
      <c r="F181" s="135">
        <v>36000</v>
      </c>
      <c r="G181" s="135"/>
    </row>
    <row r="182" spans="1:7" ht="18.75">
      <c r="A182" s="136"/>
      <c r="B182" s="124" t="s">
        <v>152</v>
      </c>
      <c r="E182" s="146">
        <v>110606</v>
      </c>
      <c r="F182" s="145"/>
      <c r="G182" s="125">
        <f>+F181</f>
        <v>36000</v>
      </c>
    </row>
    <row r="183" spans="1:7" ht="18.75">
      <c r="A183" s="138"/>
      <c r="B183" s="124"/>
      <c r="E183" s="145"/>
      <c r="F183" s="145"/>
      <c r="G183" s="125"/>
    </row>
    <row r="184" spans="1:7" ht="18.75">
      <c r="A184" s="138"/>
      <c r="B184" s="124"/>
      <c r="E184" s="145"/>
      <c r="F184" s="145"/>
      <c r="G184" s="125"/>
    </row>
    <row r="185" spans="1:7" ht="18.75">
      <c r="A185" s="138"/>
      <c r="B185" s="124"/>
      <c r="E185" s="145"/>
      <c r="F185" s="145"/>
      <c r="G185" s="125"/>
    </row>
    <row r="186" spans="1:7" ht="18.75">
      <c r="A186" s="123"/>
      <c r="B186" s="124"/>
      <c r="E186" s="145"/>
      <c r="F186" s="145"/>
      <c r="G186" s="125"/>
    </row>
    <row r="187" spans="1:7" ht="18.75">
      <c r="A187" s="123"/>
      <c r="B187" s="124"/>
      <c r="E187" s="145"/>
      <c r="F187" s="145"/>
      <c r="G187" s="125"/>
    </row>
    <row r="188" spans="1:7" ht="18.75">
      <c r="A188" s="123"/>
      <c r="B188" s="124"/>
      <c r="E188" s="145"/>
      <c r="F188" s="145"/>
      <c r="G188" s="125"/>
    </row>
    <row r="189" spans="1:7" ht="18.75">
      <c r="A189" s="123"/>
      <c r="B189" s="124"/>
      <c r="E189" s="145"/>
      <c r="F189" s="145"/>
      <c r="G189" s="125"/>
    </row>
    <row r="190" spans="1:7" ht="18.75">
      <c r="A190" s="123"/>
      <c r="B190" s="124"/>
      <c r="E190" s="145"/>
      <c r="F190" s="145"/>
      <c r="G190" s="125"/>
    </row>
    <row r="191" spans="1:7" ht="18.75">
      <c r="A191" s="123"/>
      <c r="B191" s="124"/>
      <c r="E191" s="145"/>
      <c r="F191" s="145"/>
      <c r="G191" s="125"/>
    </row>
    <row r="192" spans="1:7" ht="18.75">
      <c r="A192" s="123"/>
      <c r="B192" s="124"/>
      <c r="E192" s="145"/>
      <c r="F192" s="145"/>
      <c r="G192" s="125"/>
    </row>
    <row r="193" spans="1:7" ht="18.75">
      <c r="A193" s="123"/>
      <c r="B193" s="124"/>
      <c r="E193" s="145"/>
      <c r="F193" s="145"/>
      <c r="G193" s="125"/>
    </row>
    <row r="194" spans="1:7" ht="18.75">
      <c r="A194" s="123"/>
      <c r="B194" s="124"/>
      <c r="E194" s="145"/>
      <c r="F194" s="145"/>
      <c r="G194" s="125"/>
    </row>
    <row r="195" spans="1:7" ht="18.75">
      <c r="A195" s="123"/>
      <c r="B195" s="124"/>
      <c r="E195" s="145"/>
      <c r="F195" s="145"/>
      <c r="G195" s="125"/>
    </row>
    <row r="196" spans="1:7" ht="18.75">
      <c r="A196" s="123"/>
      <c r="B196" s="124"/>
      <c r="E196" s="145"/>
      <c r="F196" s="145"/>
      <c r="G196" s="125"/>
    </row>
    <row r="197" spans="1:7" ht="18.75">
      <c r="A197" s="127"/>
      <c r="B197" s="128"/>
      <c r="C197" s="128"/>
      <c r="D197" s="128"/>
      <c r="E197" s="127"/>
      <c r="F197" s="129"/>
      <c r="G197" s="129"/>
    </row>
    <row r="198" spans="6:7" ht="19.5" thickBot="1">
      <c r="F198" s="130">
        <f>SUM(F181:F197)</f>
        <v>36000</v>
      </c>
      <c r="G198" s="130">
        <f>SUM(G181:G197)</f>
        <v>36000</v>
      </c>
    </row>
    <row r="199" spans="6:7" ht="19.5" thickTop="1">
      <c r="F199" s="3"/>
      <c r="G199" s="3"/>
    </row>
    <row r="200" spans="1:7" ht="18.75">
      <c r="A200" s="4" t="s">
        <v>141</v>
      </c>
      <c r="B200" s="4" t="s">
        <v>484</v>
      </c>
      <c r="F200" s="3"/>
      <c r="G200" s="131"/>
    </row>
    <row r="201" spans="1:7" ht="18.75">
      <c r="A201" s="4" t="s">
        <v>485</v>
      </c>
      <c r="F201" s="3"/>
      <c r="G201" s="3"/>
    </row>
    <row r="202" spans="2:7" ht="18.75">
      <c r="B202" s="4"/>
      <c r="F202" s="3"/>
      <c r="G202" s="3"/>
    </row>
    <row r="203" spans="1:7" ht="30" customHeight="1">
      <c r="A203" s="693" t="s">
        <v>144</v>
      </c>
      <c r="B203" s="694"/>
      <c r="C203" s="695"/>
      <c r="D203" s="692" t="s">
        <v>143</v>
      </c>
      <c r="E203" s="692"/>
      <c r="F203" s="692" t="s">
        <v>142</v>
      </c>
      <c r="G203" s="692"/>
    </row>
    <row r="204" spans="1:7" ht="14.25" customHeight="1">
      <c r="A204" s="123"/>
      <c r="B204" s="124"/>
      <c r="C204" s="126"/>
      <c r="D204" s="123"/>
      <c r="E204" s="126"/>
      <c r="F204" s="123"/>
      <c r="G204" s="126"/>
    </row>
    <row r="205" spans="1:7" ht="15.75" customHeight="1">
      <c r="A205" s="123"/>
      <c r="B205" s="124"/>
      <c r="C205" s="126"/>
      <c r="D205" s="123"/>
      <c r="E205" s="126"/>
      <c r="F205" s="123"/>
      <c r="G205" s="126"/>
    </row>
    <row r="206" spans="1:7" ht="18.75">
      <c r="A206" s="696" t="s">
        <v>351</v>
      </c>
      <c r="B206" s="697"/>
      <c r="C206" s="698"/>
      <c r="D206" s="696" t="s">
        <v>33</v>
      </c>
      <c r="E206" s="698"/>
      <c r="F206" s="696" t="str">
        <f>+A206</f>
        <v>(นางสาววรรณา  ผลบุญ)</v>
      </c>
      <c r="G206" s="698"/>
    </row>
    <row r="207" spans="1:7" ht="18.75">
      <c r="A207" s="696" t="s">
        <v>352</v>
      </c>
      <c r="B207" s="697"/>
      <c r="C207" s="698"/>
      <c r="D207" s="696" t="s">
        <v>389</v>
      </c>
      <c r="E207" s="698"/>
      <c r="F207" s="696" t="str">
        <f>+A207</f>
        <v>เจ้าพนักงานการเงินและบัญชี</v>
      </c>
      <c r="G207" s="698"/>
    </row>
    <row r="208" spans="1:7" ht="18.75">
      <c r="A208" s="127"/>
      <c r="B208" s="128"/>
      <c r="C208" s="133"/>
      <c r="D208" s="687" t="s">
        <v>36</v>
      </c>
      <c r="E208" s="688"/>
      <c r="F208" s="127"/>
      <c r="G208" s="133"/>
    </row>
    <row r="209" ht="18.75">
      <c r="G209" s="118" t="s">
        <v>486</v>
      </c>
    </row>
    <row r="210" ht="18.75">
      <c r="G210" s="271" t="s">
        <v>479</v>
      </c>
    </row>
    <row r="211" spans="1:7" ht="18.75">
      <c r="A211" s="700" t="s">
        <v>153</v>
      </c>
      <c r="B211" s="700"/>
      <c r="C211" s="700"/>
      <c r="D211" s="700"/>
      <c r="E211" s="700"/>
      <c r="F211" s="700"/>
      <c r="G211" s="700"/>
    </row>
    <row r="212" ht="18.75">
      <c r="A212" s="4" t="s">
        <v>138</v>
      </c>
    </row>
    <row r="213" spans="1:7" ht="18.75">
      <c r="A213" s="198" t="s">
        <v>0</v>
      </c>
      <c r="B213" s="199"/>
      <c r="C213" s="199"/>
      <c r="D213" s="199"/>
      <c r="E213" s="200" t="s">
        <v>139</v>
      </c>
      <c r="F213" s="200" t="s">
        <v>40</v>
      </c>
      <c r="G213" s="200" t="s">
        <v>1</v>
      </c>
    </row>
    <row r="214" spans="1:7" ht="18.75">
      <c r="A214" s="144" t="s">
        <v>64</v>
      </c>
      <c r="B214" s="197"/>
      <c r="C214" s="197"/>
      <c r="D214" s="197"/>
      <c r="E214" s="147">
        <v>414006</v>
      </c>
      <c r="F214" s="135">
        <v>450</v>
      </c>
      <c r="G214" s="135"/>
    </row>
    <row r="215" spans="1:7" ht="18.75">
      <c r="A215" s="136"/>
      <c r="B215" s="124" t="s">
        <v>60</v>
      </c>
      <c r="E215" s="146">
        <v>110604</v>
      </c>
      <c r="F215" s="145"/>
      <c r="G215" s="125">
        <f>+F214</f>
        <v>450</v>
      </c>
    </row>
    <row r="216" spans="1:7" ht="18.75">
      <c r="A216" s="138"/>
      <c r="B216" s="124"/>
      <c r="E216" s="145"/>
      <c r="F216" s="145"/>
      <c r="G216" s="125"/>
    </row>
    <row r="217" spans="1:7" ht="18.75">
      <c r="A217" s="138"/>
      <c r="B217" s="124"/>
      <c r="E217" s="145"/>
      <c r="F217" s="145"/>
      <c r="G217" s="125"/>
    </row>
    <row r="218" spans="1:7" ht="18.75">
      <c r="A218" s="138"/>
      <c r="B218" s="124"/>
      <c r="E218" s="145"/>
      <c r="F218" s="145"/>
      <c r="G218" s="125"/>
    </row>
    <row r="219" spans="1:7" ht="18.75">
      <c r="A219" s="123"/>
      <c r="B219" s="124"/>
      <c r="E219" s="145"/>
      <c r="F219" s="145"/>
      <c r="G219" s="125"/>
    </row>
    <row r="220" spans="1:7" ht="18.75">
      <c r="A220" s="123"/>
      <c r="B220" s="124"/>
      <c r="E220" s="145"/>
      <c r="F220" s="145"/>
      <c r="G220" s="125"/>
    </row>
    <row r="221" spans="1:7" ht="18.75">
      <c r="A221" s="123"/>
      <c r="B221" s="124"/>
      <c r="E221" s="145"/>
      <c r="F221" s="145"/>
      <c r="G221" s="125"/>
    </row>
    <row r="222" spans="1:7" ht="18.75">
      <c r="A222" s="123"/>
      <c r="B222" s="124"/>
      <c r="E222" s="145"/>
      <c r="F222" s="145"/>
      <c r="G222" s="125"/>
    </row>
    <row r="223" spans="1:7" ht="18.75">
      <c r="A223" s="123"/>
      <c r="B223" s="124"/>
      <c r="E223" s="145"/>
      <c r="F223" s="145"/>
      <c r="G223" s="125"/>
    </row>
    <row r="224" spans="1:7" ht="18.75">
      <c r="A224" s="123"/>
      <c r="B224" s="124"/>
      <c r="E224" s="145"/>
      <c r="F224" s="145"/>
      <c r="G224" s="125"/>
    </row>
    <row r="225" spans="1:7" ht="18.75">
      <c r="A225" s="123"/>
      <c r="B225" s="124"/>
      <c r="E225" s="145"/>
      <c r="F225" s="145"/>
      <c r="G225" s="125"/>
    </row>
    <row r="226" spans="1:7" ht="18.75">
      <c r="A226" s="123"/>
      <c r="B226" s="124"/>
      <c r="E226" s="145"/>
      <c r="F226" s="145"/>
      <c r="G226" s="125"/>
    </row>
    <row r="227" spans="1:7" ht="18.75">
      <c r="A227" s="123"/>
      <c r="B227" s="124"/>
      <c r="E227" s="145"/>
      <c r="F227" s="145"/>
      <c r="G227" s="125"/>
    </row>
    <row r="228" spans="1:7" ht="18.75">
      <c r="A228" s="123"/>
      <c r="B228" s="124"/>
      <c r="E228" s="145"/>
      <c r="F228" s="145"/>
      <c r="G228" s="125"/>
    </row>
    <row r="229" spans="1:7" ht="18.75">
      <c r="A229" s="123"/>
      <c r="B229" s="124"/>
      <c r="E229" s="145"/>
      <c r="F229" s="145"/>
      <c r="G229" s="125"/>
    </row>
    <row r="230" spans="1:7" ht="18.75">
      <c r="A230" s="123"/>
      <c r="B230" s="124"/>
      <c r="E230" s="145"/>
      <c r="F230" s="145"/>
      <c r="G230" s="125"/>
    </row>
    <row r="231" spans="1:7" ht="18.75">
      <c r="A231" s="127"/>
      <c r="B231" s="128"/>
      <c r="C231" s="128"/>
      <c r="D231" s="128"/>
      <c r="E231" s="127"/>
      <c r="F231" s="129"/>
      <c r="G231" s="129"/>
    </row>
    <row r="232" spans="6:7" ht="19.5" thickBot="1">
      <c r="F232" s="130">
        <f>SUM(F214:F231)</f>
        <v>450</v>
      </c>
      <c r="G232" s="130">
        <f>SUM(G214:G231)</f>
        <v>450</v>
      </c>
    </row>
    <row r="233" spans="6:7" ht="19.5" thickTop="1">
      <c r="F233" s="3"/>
      <c r="G233" s="3"/>
    </row>
    <row r="234" spans="1:7" ht="18.75">
      <c r="A234" s="4" t="s">
        <v>141</v>
      </c>
      <c r="B234" s="4" t="s">
        <v>487</v>
      </c>
      <c r="F234" s="3"/>
      <c r="G234" s="131"/>
    </row>
    <row r="235" spans="1:7" ht="18.75">
      <c r="A235" s="4" t="s">
        <v>488</v>
      </c>
      <c r="B235" s="4"/>
      <c r="F235" s="3"/>
      <c r="G235" s="131"/>
    </row>
    <row r="236" spans="2:7" ht="18.75">
      <c r="B236" s="4"/>
      <c r="F236" s="3"/>
      <c r="G236" s="3"/>
    </row>
    <row r="237" spans="1:7" ht="18.75">
      <c r="A237" s="693" t="s">
        <v>144</v>
      </c>
      <c r="B237" s="694"/>
      <c r="C237" s="695"/>
      <c r="D237" s="692" t="s">
        <v>143</v>
      </c>
      <c r="E237" s="692"/>
      <c r="F237" s="692" t="s">
        <v>142</v>
      </c>
      <c r="G237" s="692"/>
    </row>
    <row r="238" spans="1:7" ht="18.75">
      <c r="A238" s="123"/>
      <c r="B238" s="124"/>
      <c r="C238" s="126"/>
      <c r="D238" s="123"/>
      <c r="E238" s="126"/>
      <c r="F238" s="123"/>
      <c r="G238" s="126"/>
    </row>
    <row r="239" spans="1:7" ht="18.75">
      <c r="A239" s="696" t="s">
        <v>351</v>
      </c>
      <c r="B239" s="697"/>
      <c r="C239" s="698"/>
      <c r="D239" s="696" t="s">
        <v>33</v>
      </c>
      <c r="E239" s="698"/>
      <c r="F239" s="696" t="str">
        <f>+A239</f>
        <v>(นางสาววรรณา  ผลบุญ)</v>
      </c>
      <c r="G239" s="698"/>
    </row>
    <row r="240" spans="1:7" ht="18.75">
      <c r="A240" s="696" t="s">
        <v>352</v>
      </c>
      <c r="B240" s="697"/>
      <c r="C240" s="698"/>
      <c r="D240" s="696" t="s">
        <v>389</v>
      </c>
      <c r="E240" s="698"/>
      <c r="F240" s="696" t="str">
        <f>+A240</f>
        <v>เจ้าพนักงานการเงินและบัญชี</v>
      </c>
      <c r="G240" s="698"/>
    </row>
    <row r="241" spans="1:7" ht="18.75">
      <c r="A241" s="127"/>
      <c r="B241" s="128"/>
      <c r="C241" s="133"/>
      <c r="D241" s="687" t="s">
        <v>36</v>
      </c>
      <c r="E241" s="688"/>
      <c r="F241" s="127"/>
      <c r="G241" s="133"/>
    </row>
    <row r="242" ht="18.75">
      <c r="G242" s="118" t="s">
        <v>394</v>
      </c>
    </row>
    <row r="243" ht="18.75">
      <c r="G243" s="202" t="s">
        <v>392</v>
      </c>
    </row>
    <row r="244" spans="1:7" ht="18.75">
      <c r="A244" s="700" t="s">
        <v>153</v>
      </c>
      <c r="B244" s="700"/>
      <c r="C244" s="700"/>
      <c r="D244" s="700"/>
      <c r="E244" s="700"/>
      <c r="F244" s="700"/>
      <c r="G244" s="700"/>
    </row>
    <row r="245" ht="18.75">
      <c r="A245" s="4" t="s">
        <v>138</v>
      </c>
    </row>
    <row r="246" spans="1:7" ht="18.75">
      <c r="A246" s="203" t="s">
        <v>0</v>
      </c>
      <c r="B246" s="204"/>
      <c r="C246" s="204"/>
      <c r="D246" s="204"/>
      <c r="E246" s="206" t="s">
        <v>139</v>
      </c>
      <c r="F246" s="206" t="s">
        <v>40</v>
      </c>
      <c r="G246" s="206" t="s">
        <v>1</v>
      </c>
    </row>
    <row r="247" spans="1:7" ht="18.75">
      <c r="A247" s="144" t="s">
        <v>395</v>
      </c>
      <c r="B247" s="205"/>
      <c r="C247" s="205"/>
      <c r="D247" s="205"/>
      <c r="E247" s="147">
        <v>110201</v>
      </c>
      <c r="F247" s="135">
        <v>19240</v>
      </c>
      <c r="G247" s="135"/>
    </row>
    <row r="248" spans="1:7" ht="18.75">
      <c r="A248" s="136"/>
      <c r="B248" s="124" t="s">
        <v>15</v>
      </c>
      <c r="E248" s="146">
        <v>300000</v>
      </c>
      <c r="F248" s="145"/>
      <c r="G248" s="125">
        <f>+F247</f>
        <v>19240</v>
      </c>
    </row>
    <row r="249" spans="1:7" ht="18.75">
      <c r="A249" s="138"/>
      <c r="B249" s="124"/>
      <c r="E249" s="145"/>
      <c r="F249" s="145"/>
      <c r="G249" s="125"/>
    </row>
    <row r="250" spans="1:7" ht="18.75">
      <c r="A250" s="138"/>
      <c r="B250" s="124"/>
      <c r="E250" s="145"/>
      <c r="F250" s="145"/>
      <c r="G250" s="125"/>
    </row>
    <row r="251" spans="1:7" ht="18.75">
      <c r="A251" s="138"/>
      <c r="B251" s="124"/>
      <c r="E251" s="145"/>
      <c r="F251" s="145"/>
      <c r="G251" s="125"/>
    </row>
    <row r="252" spans="1:7" ht="18.75">
      <c r="A252" s="123"/>
      <c r="B252" s="124"/>
      <c r="E252" s="145"/>
      <c r="F252" s="145"/>
      <c r="G252" s="125"/>
    </row>
    <row r="253" spans="1:7" ht="18.75">
      <c r="A253" s="123"/>
      <c r="B253" s="124"/>
      <c r="E253" s="145"/>
      <c r="F253" s="145"/>
      <c r="G253" s="125"/>
    </row>
    <row r="254" spans="1:7" ht="18.75">
      <c r="A254" s="123"/>
      <c r="B254" s="124"/>
      <c r="E254" s="145"/>
      <c r="F254" s="145"/>
      <c r="G254" s="125"/>
    </row>
    <row r="255" spans="1:7" ht="18.75">
      <c r="A255" s="123"/>
      <c r="B255" s="124"/>
      <c r="E255" s="145"/>
      <c r="F255" s="145"/>
      <c r="G255" s="125"/>
    </row>
    <row r="256" spans="1:7" ht="18.75">
      <c r="A256" s="123"/>
      <c r="B256" s="124"/>
      <c r="E256" s="145"/>
      <c r="F256" s="145"/>
      <c r="G256" s="125"/>
    </row>
    <row r="257" spans="1:7" ht="18.75">
      <c r="A257" s="123"/>
      <c r="B257" s="124"/>
      <c r="E257" s="145"/>
      <c r="F257" s="145"/>
      <c r="G257" s="125"/>
    </row>
    <row r="258" spans="1:7" ht="18.75">
      <c r="A258" s="127"/>
      <c r="B258" s="128"/>
      <c r="C258" s="128"/>
      <c r="D258" s="128"/>
      <c r="E258" s="127"/>
      <c r="F258" s="129"/>
      <c r="G258" s="129"/>
    </row>
    <row r="259" spans="6:7" ht="19.5" thickBot="1">
      <c r="F259" s="130">
        <f>SUM(F247:F258)</f>
        <v>19240</v>
      </c>
      <c r="G259" s="130">
        <f>SUM(G247:G258)</f>
        <v>19240</v>
      </c>
    </row>
    <row r="260" spans="6:7" ht="19.5" thickTop="1">
      <c r="F260" s="3"/>
      <c r="G260" s="3"/>
    </row>
    <row r="261" spans="1:7" ht="18.75">
      <c r="A261" s="4" t="s">
        <v>141</v>
      </c>
      <c r="B261" s="4" t="s">
        <v>396</v>
      </c>
      <c r="F261" s="3"/>
      <c r="G261" s="131"/>
    </row>
    <row r="262" spans="1:7" ht="18.75">
      <c r="A262" s="4"/>
      <c r="B262" s="4" t="s">
        <v>397</v>
      </c>
      <c r="F262" s="3"/>
      <c r="G262" s="131"/>
    </row>
    <row r="263" spans="1:7" ht="18.75">
      <c r="A263" s="4"/>
      <c r="B263" s="4" t="s">
        <v>405</v>
      </c>
      <c r="F263" s="3"/>
      <c r="G263" s="131"/>
    </row>
    <row r="264" spans="1:7" ht="18.75">
      <c r="A264" s="4"/>
      <c r="B264" s="4" t="s">
        <v>398</v>
      </c>
      <c r="F264" s="3"/>
      <c r="G264" s="131"/>
    </row>
    <row r="265" spans="1:7" ht="18.75">
      <c r="A265" s="4"/>
      <c r="B265" s="4" t="s">
        <v>405</v>
      </c>
      <c r="F265" s="3"/>
      <c r="G265" s="131"/>
    </row>
    <row r="266" spans="1:7" ht="18.75">
      <c r="A266" s="4"/>
      <c r="B266" s="4" t="s">
        <v>399</v>
      </c>
      <c r="F266" s="3"/>
      <c r="G266" s="131"/>
    </row>
    <row r="267" spans="1:7" ht="18.75">
      <c r="A267" s="4"/>
      <c r="B267" s="4" t="s">
        <v>400</v>
      </c>
      <c r="F267" s="3"/>
      <c r="G267" s="131"/>
    </row>
    <row r="268" spans="1:7" ht="18.75">
      <c r="A268" s="4"/>
      <c r="B268" s="4" t="s">
        <v>401</v>
      </c>
      <c r="F268" s="3"/>
      <c r="G268" s="131"/>
    </row>
    <row r="269" spans="1:7" ht="18.75">
      <c r="A269" s="4"/>
      <c r="B269" s="4" t="s">
        <v>402</v>
      </c>
      <c r="F269" s="3"/>
      <c r="G269" s="131"/>
    </row>
    <row r="270" spans="1:7" ht="18.75">
      <c r="A270" s="4"/>
      <c r="B270" s="4" t="s">
        <v>403</v>
      </c>
      <c r="F270" s="3"/>
      <c r="G270" s="131"/>
    </row>
    <row r="271" spans="1:7" ht="18.75">
      <c r="A271" s="4"/>
      <c r="B271" s="4" t="s">
        <v>404</v>
      </c>
      <c r="F271" s="3"/>
      <c r="G271" s="131"/>
    </row>
    <row r="272" spans="1:7" ht="18.75">
      <c r="A272" s="4"/>
      <c r="B272" s="4"/>
      <c r="F272" s="3"/>
      <c r="G272" s="131"/>
    </row>
    <row r="273" spans="1:7" ht="18.75">
      <c r="A273" s="4"/>
      <c r="B273" s="4"/>
      <c r="F273" s="3"/>
      <c r="G273" s="131"/>
    </row>
    <row r="274" spans="2:7" ht="18.75">
      <c r="B274" s="4"/>
      <c r="F274" s="3"/>
      <c r="G274" s="3"/>
    </row>
    <row r="275" spans="1:7" ht="18.75">
      <c r="A275" s="693" t="s">
        <v>144</v>
      </c>
      <c r="B275" s="694"/>
      <c r="C275" s="695"/>
      <c r="D275" s="692" t="s">
        <v>143</v>
      </c>
      <c r="E275" s="692"/>
      <c r="F275" s="692" t="s">
        <v>142</v>
      </c>
      <c r="G275" s="692"/>
    </row>
    <row r="276" spans="1:7" ht="12.75" customHeight="1">
      <c r="A276" s="123"/>
      <c r="B276" s="124"/>
      <c r="C276" s="126"/>
      <c r="D276" s="123"/>
      <c r="E276" s="126"/>
      <c r="F276" s="123"/>
      <c r="G276" s="126"/>
    </row>
    <row r="277" spans="1:7" ht="12" customHeight="1">
      <c r="A277" s="123"/>
      <c r="B277" s="124"/>
      <c r="C277" s="126"/>
      <c r="D277" s="123"/>
      <c r="E277" s="126"/>
      <c r="F277" s="123"/>
      <c r="G277" s="126"/>
    </row>
    <row r="278" spans="1:7" ht="18.75">
      <c r="A278" s="696" t="str">
        <f>+A239</f>
        <v>(นางสาววรรณา  ผลบุญ)</v>
      </c>
      <c r="B278" s="697"/>
      <c r="C278" s="698"/>
      <c r="D278" s="696" t="s">
        <v>33</v>
      </c>
      <c r="E278" s="698"/>
      <c r="F278" s="696" t="str">
        <f>+A278</f>
        <v>(นางสาววรรณา  ผลบุญ)</v>
      </c>
      <c r="G278" s="698"/>
    </row>
    <row r="279" spans="1:7" ht="18.75">
      <c r="A279" s="696" t="str">
        <f>+A240</f>
        <v>เจ้าพนักงานการเงินและบัญชี</v>
      </c>
      <c r="B279" s="697"/>
      <c r="C279" s="698"/>
      <c r="D279" s="696" t="s">
        <v>393</v>
      </c>
      <c r="E279" s="698"/>
      <c r="F279" s="696" t="str">
        <f>+A279</f>
        <v>เจ้าพนักงานการเงินและบัญชี</v>
      </c>
      <c r="G279" s="698"/>
    </row>
    <row r="280" spans="1:7" ht="18.75">
      <c r="A280" s="127"/>
      <c r="B280" s="128"/>
      <c r="C280" s="133"/>
      <c r="D280" s="687" t="s">
        <v>36</v>
      </c>
      <c r="E280" s="688"/>
      <c r="F280" s="127"/>
      <c r="G280" s="133"/>
    </row>
    <row r="281" ht="18.75">
      <c r="G281" s="118" t="s">
        <v>647</v>
      </c>
    </row>
    <row r="282" ht="18.75">
      <c r="G282" s="118" t="s">
        <v>648</v>
      </c>
    </row>
    <row r="283" spans="1:7" ht="18.75">
      <c r="A283" s="700" t="s">
        <v>153</v>
      </c>
      <c r="B283" s="700"/>
      <c r="C283" s="700"/>
      <c r="D283" s="700"/>
      <c r="E283" s="700"/>
      <c r="F283" s="700"/>
      <c r="G283" s="700"/>
    </row>
    <row r="284" ht="18.75">
      <c r="A284" s="4" t="s">
        <v>138</v>
      </c>
    </row>
    <row r="285" spans="1:7" ht="18.75">
      <c r="A285" s="215" t="s">
        <v>0</v>
      </c>
      <c r="B285" s="216"/>
      <c r="C285" s="216"/>
      <c r="D285" s="216"/>
      <c r="E285" s="220" t="s">
        <v>139</v>
      </c>
      <c r="F285" s="220" t="s">
        <v>40</v>
      </c>
      <c r="G285" s="220" t="s">
        <v>1</v>
      </c>
    </row>
    <row r="286" spans="1:7" ht="18.75">
      <c r="A286" s="144" t="s">
        <v>6</v>
      </c>
      <c r="B286" s="213"/>
      <c r="C286" s="213"/>
      <c r="D286" s="213"/>
      <c r="E286" s="214">
        <v>532000</v>
      </c>
      <c r="F286" s="135">
        <v>13960</v>
      </c>
      <c r="G286" s="135"/>
    </row>
    <row r="287" spans="1:7" ht="18.75">
      <c r="A287" s="136"/>
      <c r="B287" s="124" t="s">
        <v>130</v>
      </c>
      <c r="E287" s="214">
        <v>110605</v>
      </c>
      <c r="F287" s="145"/>
      <c r="G287" s="125">
        <f>+F286</f>
        <v>13960</v>
      </c>
    </row>
    <row r="288" spans="1:7" ht="18.75">
      <c r="A288" s="138"/>
      <c r="B288" s="124"/>
      <c r="E288" s="146"/>
      <c r="F288" s="145"/>
      <c r="G288" s="125"/>
    </row>
    <row r="289" spans="1:7" ht="18.75">
      <c r="A289" s="138"/>
      <c r="B289" s="124"/>
      <c r="E289" s="145"/>
      <c r="F289" s="145"/>
      <c r="G289" s="125"/>
    </row>
    <row r="290" spans="1:7" ht="18.75">
      <c r="A290" s="138"/>
      <c r="B290" s="124"/>
      <c r="E290" s="145"/>
      <c r="F290" s="145"/>
      <c r="G290" s="125"/>
    </row>
    <row r="291" spans="1:7" ht="18.75">
      <c r="A291" s="123"/>
      <c r="B291" s="124"/>
      <c r="E291" s="145"/>
      <c r="F291" s="145"/>
      <c r="G291" s="125"/>
    </row>
    <row r="292" spans="1:7" ht="18.75">
      <c r="A292" s="123"/>
      <c r="B292" s="124"/>
      <c r="E292" s="145"/>
      <c r="F292" s="145"/>
      <c r="G292" s="125"/>
    </row>
    <row r="293" spans="1:7" ht="18.75">
      <c r="A293" s="123"/>
      <c r="B293" s="124"/>
      <c r="E293" s="145"/>
      <c r="F293" s="145"/>
      <c r="G293" s="125"/>
    </row>
    <row r="294" spans="1:7" ht="18.75">
      <c r="A294" s="123"/>
      <c r="B294" s="124"/>
      <c r="E294" s="145"/>
      <c r="F294" s="145"/>
      <c r="G294" s="125"/>
    </row>
    <row r="295" spans="1:7" ht="18.75">
      <c r="A295" s="123"/>
      <c r="B295" s="124"/>
      <c r="E295" s="145"/>
      <c r="F295" s="145"/>
      <c r="G295" s="125"/>
    </row>
    <row r="296" spans="1:7" ht="18.75">
      <c r="A296" s="123"/>
      <c r="B296" s="124"/>
      <c r="E296" s="145"/>
      <c r="F296" s="145"/>
      <c r="G296" s="125"/>
    </row>
    <row r="297" spans="1:7" ht="18.75">
      <c r="A297" s="123"/>
      <c r="B297" s="124"/>
      <c r="E297" s="145"/>
      <c r="F297" s="145"/>
      <c r="G297" s="125"/>
    </row>
    <row r="298" spans="1:7" ht="18.75">
      <c r="A298" s="123"/>
      <c r="B298" s="124"/>
      <c r="E298" s="145"/>
      <c r="F298" s="145"/>
      <c r="G298" s="125"/>
    </row>
    <row r="299" spans="1:7" ht="18.75">
      <c r="A299" s="123"/>
      <c r="B299" s="124"/>
      <c r="E299" s="145"/>
      <c r="F299" s="145"/>
      <c r="G299" s="125"/>
    </row>
    <row r="300" spans="1:7" ht="18.75">
      <c r="A300" s="123"/>
      <c r="B300" s="124"/>
      <c r="E300" s="145"/>
      <c r="F300" s="145"/>
      <c r="G300" s="125"/>
    </row>
    <row r="301" spans="1:7" ht="18.75">
      <c r="A301" s="127"/>
      <c r="B301" s="128"/>
      <c r="C301" s="128"/>
      <c r="D301" s="128"/>
      <c r="E301" s="127"/>
      <c r="F301" s="129"/>
      <c r="G301" s="129"/>
    </row>
    <row r="302" spans="6:7" ht="19.5" thickBot="1">
      <c r="F302" s="130">
        <f>SUM(F286:F301)</f>
        <v>13960</v>
      </c>
      <c r="G302" s="130">
        <f>SUM(G286:G301)</f>
        <v>13960</v>
      </c>
    </row>
    <row r="303" spans="6:7" ht="19.5" thickTop="1">
      <c r="F303" s="3"/>
      <c r="G303" s="3"/>
    </row>
    <row r="304" spans="1:7" ht="18.75">
      <c r="A304" s="4" t="s">
        <v>141</v>
      </c>
      <c r="B304" s="4" t="s">
        <v>649</v>
      </c>
      <c r="F304" s="3"/>
      <c r="G304" s="131"/>
    </row>
    <row r="305" spans="1:7" ht="18.75">
      <c r="A305" s="4" t="s">
        <v>650</v>
      </c>
      <c r="B305" s="4"/>
      <c r="F305" s="3"/>
      <c r="G305" s="131"/>
    </row>
    <row r="306" spans="1:7" ht="18.75">
      <c r="A306" s="4" t="s">
        <v>651</v>
      </c>
      <c r="F306" s="3"/>
      <c r="G306" s="3"/>
    </row>
    <row r="307" spans="1:7" ht="18.75" hidden="1">
      <c r="A307" s="4" t="s">
        <v>624</v>
      </c>
      <c r="B307" s="4"/>
      <c r="F307" s="3"/>
      <c r="G307" s="3"/>
    </row>
    <row r="308" spans="1:7" ht="18.75" hidden="1">
      <c r="A308" s="4"/>
      <c r="B308" s="4"/>
      <c r="F308" s="3"/>
      <c r="G308" s="3"/>
    </row>
    <row r="309" spans="1:7" ht="18.75">
      <c r="A309" s="693" t="s">
        <v>144</v>
      </c>
      <c r="B309" s="694"/>
      <c r="C309" s="695"/>
      <c r="D309" s="692" t="s">
        <v>143</v>
      </c>
      <c r="E309" s="692"/>
      <c r="F309" s="692" t="s">
        <v>142</v>
      </c>
      <c r="G309" s="692"/>
    </row>
    <row r="310" spans="1:7" ht="30" customHeight="1">
      <c r="A310" s="123"/>
      <c r="B310" s="124"/>
      <c r="C310" s="126"/>
      <c r="D310" s="123"/>
      <c r="E310" s="126"/>
      <c r="F310" s="123"/>
      <c r="G310" s="126"/>
    </row>
    <row r="311" spans="1:7" ht="18.75">
      <c r="A311" s="696" t="s">
        <v>351</v>
      </c>
      <c r="B311" s="697"/>
      <c r="C311" s="698"/>
      <c r="D311" s="696" t="s">
        <v>642</v>
      </c>
      <c r="E311" s="698"/>
      <c r="F311" s="696" t="str">
        <f>+A311</f>
        <v>(นางสาววรรณา  ผลบุญ)</v>
      </c>
      <c r="G311" s="698"/>
    </row>
    <row r="312" spans="1:7" ht="18.75">
      <c r="A312" s="696" t="s">
        <v>570</v>
      </c>
      <c r="B312" s="697"/>
      <c r="C312" s="698"/>
      <c r="D312" s="696" t="s">
        <v>36</v>
      </c>
      <c r="E312" s="698"/>
      <c r="F312" s="696" t="str">
        <f>+A312</f>
        <v>นักวิชาการเงินและบัญชี</v>
      </c>
      <c r="G312" s="698"/>
    </row>
    <row r="313" spans="1:7" ht="18.75">
      <c r="A313" s="127"/>
      <c r="B313" s="128"/>
      <c r="C313" s="133"/>
      <c r="D313" s="687"/>
      <c r="E313" s="688"/>
      <c r="F313" s="127"/>
      <c r="G313" s="133"/>
    </row>
    <row r="314" ht="18.75">
      <c r="G314" s="118" t="s">
        <v>652</v>
      </c>
    </row>
    <row r="315" ht="18.75">
      <c r="G315" s="118" t="s">
        <v>653</v>
      </c>
    </row>
    <row r="316" spans="1:7" ht="18.75">
      <c r="A316" s="700" t="s">
        <v>153</v>
      </c>
      <c r="B316" s="700"/>
      <c r="C316" s="700"/>
      <c r="D316" s="700"/>
      <c r="E316" s="700"/>
      <c r="F316" s="700"/>
      <c r="G316" s="700"/>
    </row>
    <row r="317" ht="18.75">
      <c r="A317" s="4" t="s">
        <v>138</v>
      </c>
    </row>
    <row r="318" spans="1:7" ht="18.75">
      <c r="A318" s="215" t="s">
        <v>0</v>
      </c>
      <c r="B318" s="216"/>
      <c r="C318" s="216"/>
      <c r="D318" s="216"/>
      <c r="E318" s="220" t="s">
        <v>139</v>
      </c>
      <c r="F318" s="220" t="s">
        <v>40</v>
      </c>
      <c r="G318" s="220" t="s">
        <v>1</v>
      </c>
    </row>
    <row r="319" spans="1:7" ht="18.75">
      <c r="A319" s="144" t="s">
        <v>417</v>
      </c>
      <c r="B319" s="213"/>
      <c r="C319" s="213"/>
      <c r="D319" s="213"/>
      <c r="E319" s="147">
        <v>410000</v>
      </c>
      <c r="F319" s="135">
        <v>645600</v>
      </c>
      <c r="G319" s="135"/>
    </row>
    <row r="320" spans="1:7" ht="18.75">
      <c r="A320" s="136" t="s">
        <v>427</v>
      </c>
      <c r="B320" s="491"/>
      <c r="C320" s="491"/>
      <c r="D320" s="491"/>
      <c r="E320" s="146">
        <v>410000</v>
      </c>
      <c r="F320" s="137">
        <v>56000</v>
      </c>
      <c r="G320" s="137"/>
    </row>
    <row r="321" spans="1:8" ht="18.75">
      <c r="A321" s="136"/>
      <c r="B321" s="124" t="s">
        <v>628</v>
      </c>
      <c r="E321" s="146">
        <v>110609</v>
      </c>
      <c r="F321" s="145"/>
      <c r="G321" s="125">
        <f>SUM(F319:F320)</f>
        <v>701600</v>
      </c>
      <c r="H321" s="2">
        <f>610000+54000</f>
        <v>664000</v>
      </c>
    </row>
    <row r="322" spans="1:7" ht="18.75">
      <c r="A322" s="138"/>
      <c r="B322" s="124"/>
      <c r="E322" s="145"/>
      <c r="F322" s="145"/>
      <c r="G322" s="125"/>
    </row>
    <row r="323" spans="1:7" ht="18.75">
      <c r="A323" s="138"/>
      <c r="B323" s="124"/>
      <c r="E323" s="145"/>
      <c r="F323" s="145"/>
      <c r="G323" s="125"/>
    </row>
    <row r="324" spans="1:7" ht="18.75">
      <c r="A324" s="138"/>
      <c r="B324" s="124"/>
      <c r="E324" s="145"/>
      <c r="F324" s="145"/>
      <c r="G324" s="125"/>
    </row>
    <row r="325" spans="1:7" ht="18.75">
      <c r="A325" s="123"/>
      <c r="B325" s="124"/>
      <c r="E325" s="145"/>
      <c r="F325" s="145"/>
      <c r="G325" s="125"/>
    </row>
    <row r="326" spans="1:7" ht="18.75">
      <c r="A326" s="123"/>
      <c r="B326" s="124"/>
      <c r="E326" s="145"/>
      <c r="F326" s="145"/>
      <c r="G326" s="125"/>
    </row>
    <row r="327" spans="1:7" ht="18.75">
      <c r="A327" s="123"/>
      <c r="B327" s="124"/>
      <c r="E327" s="145"/>
      <c r="F327" s="145"/>
      <c r="G327" s="125"/>
    </row>
    <row r="328" spans="1:7" ht="18.75">
      <c r="A328" s="123"/>
      <c r="B328" s="124"/>
      <c r="E328" s="145"/>
      <c r="F328" s="145"/>
      <c r="G328" s="125"/>
    </row>
    <row r="329" spans="1:7" ht="18.75">
      <c r="A329" s="123"/>
      <c r="B329" s="124"/>
      <c r="E329" s="145"/>
      <c r="F329" s="145"/>
      <c r="G329" s="125"/>
    </row>
    <row r="330" spans="1:7" ht="18.75">
      <c r="A330" s="123"/>
      <c r="B330" s="124"/>
      <c r="E330" s="145"/>
      <c r="F330" s="145"/>
      <c r="G330" s="125"/>
    </row>
    <row r="331" spans="1:7" ht="18.75">
      <c r="A331" s="123"/>
      <c r="B331" s="124"/>
      <c r="E331" s="145"/>
      <c r="F331" s="145"/>
      <c r="G331" s="125"/>
    </row>
    <row r="332" spans="1:7" ht="18.75">
      <c r="A332" s="123"/>
      <c r="B332" s="124"/>
      <c r="E332" s="145"/>
      <c r="F332" s="145"/>
      <c r="G332" s="125"/>
    </row>
    <row r="333" spans="1:7" ht="18.75">
      <c r="A333" s="123"/>
      <c r="B333" s="124"/>
      <c r="E333" s="145"/>
      <c r="F333" s="145"/>
      <c r="G333" s="125"/>
    </row>
    <row r="334" spans="1:7" ht="18.75">
      <c r="A334" s="123"/>
      <c r="B334" s="124"/>
      <c r="E334" s="145"/>
      <c r="F334" s="145"/>
      <c r="G334" s="125"/>
    </row>
    <row r="335" spans="1:7" ht="18.75">
      <c r="A335" s="123"/>
      <c r="B335" s="124"/>
      <c r="E335" s="145"/>
      <c r="F335" s="145"/>
      <c r="G335" s="125"/>
    </row>
    <row r="336" spans="1:7" ht="18.75">
      <c r="A336" s="127"/>
      <c r="B336" s="128"/>
      <c r="C336" s="128"/>
      <c r="D336" s="128"/>
      <c r="E336" s="127"/>
      <c r="F336" s="129"/>
      <c r="G336" s="129"/>
    </row>
    <row r="337" spans="6:7" ht="19.5" thickBot="1">
      <c r="F337" s="130">
        <f>SUM(F319:F336)</f>
        <v>701600</v>
      </c>
      <c r="G337" s="130">
        <f>SUM(G319:G336)</f>
        <v>701600</v>
      </c>
    </row>
    <row r="338" spans="6:7" ht="19.5" thickTop="1">
      <c r="F338" s="3"/>
      <c r="G338" s="3"/>
    </row>
    <row r="339" spans="1:7" ht="18.75">
      <c r="A339" s="4" t="s">
        <v>141</v>
      </c>
      <c r="B339" s="4" t="s">
        <v>654</v>
      </c>
      <c r="F339" s="3"/>
      <c r="G339" s="131"/>
    </row>
    <row r="340" spans="1:7" ht="18.75">
      <c r="A340" s="4" t="s">
        <v>655</v>
      </c>
      <c r="F340" s="3"/>
      <c r="G340" s="3"/>
    </row>
    <row r="341" spans="1:7" ht="18.75" hidden="1">
      <c r="A341" s="4" t="s">
        <v>422</v>
      </c>
      <c r="B341" s="4"/>
      <c r="F341" s="3"/>
      <c r="G341" s="3"/>
    </row>
    <row r="342" spans="2:7" ht="18.75">
      <c r="B342" s="4"/>
      <c r="F342" s="3"/>
      <c r="G342" s="3"/>
    </row>
    <row r="343" spans="1:7" ht="18.75">
      <c r="A343" s="693" t="s">
        <v>144</v>
      </c>
      <c r="B343" s="694"/>
      <c r="C343" s="695"/>
      <c r="D343" s="692" t="s">
        <v>143</v>
      </c>
      <c r="E343" s="692"/>
      <c r="F343" s="692" t="s">
        <v>142</v>
      </c>
      <c r="G343" s="692"/>
    </row>
    <row r="344" spans="1:7" ht="12" customHeight="1">
      <c r="A344" s="123"/>
      <c r="B344" s="124"/>
      <c r="C344" s="126"/>
      <c r="D344" s="123"/>
      <c r="E344" s="126"/>
      <c r="F344" s="123"/>
      <c r="G344" s="126"/>
    </row>
    <row r="345" spans="1:7" ht="18.75">
      <c r="A345" s="123"/>
      <c r="B345" s="124"/>
      <c r="C345" s="126"/>
      <c r="D345" s="123"/>
      <c r="E345" s="126"/>
      <c r="F345" s="123"/>
      <c r="G345" s="126"/>
    </row>
    <row r="346" spans="1:7" ht="18.75">
      <c r="A346" s="696" t="s">
        <v>351</v>
      </c>
      <c r="B346" s="697"/>
      <c r="C346" s="698"/>
      <c r="D346" s="696" t="s">
        <v>642</v>
      </c>
      <c r="E346" s="698"/>
      <c r="F346" s="696" t="str">
        <f>+A346</f>
        <v>(นางสาววรรณา  ผลบุญ)</v>
      </c>
      <c r="G346" s="698"/>
    </row>
    <row r="347" spans="1:7" ht="18.75">
      <c r="A347" s="696" t="s">
        <v>570</v>
      </c>
      <c r="B347" s="697"/>
      <c r="C347" s="698"/>
      <c r="D347" s="696" t="s">
        <v>36</v>
      </c>
      <c r="E347" s="698"/>
      <c r="F347" s="696" t="str">
        <f>+A347</f>
        <v>นักวิชาการเงินและบัญชี</v>
      </c>
      <c r="G347" s="698"/>
    </row>
    <row r="348" spans="1:7" ht="18.75">
      <c r="A348" s="127"/>
      <c r="B348" s="128"/>
      <c r="C348" s="133"/>
      <c r="D348" s="687"/>
      <c r="E348" s="688"/>
      <c r="F348" s="127"/>
      <c r="G348" s="133"/>
    </row>
    <row r="349" ht="18.75">
      <c r="G349" s="118" t="s">
        <v>625</v>
      </c>
    </row>
    <row r="350" ht="18.75">
      <c r="G350" s="118" t="s">
        <v>623</v>
      </c>
    </row>
    <row r="351" spans="1:7" ht="18.75">
      <c r="A351" s="700" t="s">
        <v>153</v>
      </c>
      <c r="B351" s="700"/>
      <c r="C351" s="700"/>
      <c r="D351" s="700"/>
      <c r="E351" s="700"/>
      <c r="F351" s="700"/>
      <c r="G351" s="700"/>
    </row>
    <row r="352" ht="18.75">
      <c r="A352" s="4" t="s">
        <v>138</v>
      </c>
    </row>
    <row r="353" spans="1:7" ht="18.75">
      <c r="A353" s="229" t="s">
        <v>0</v>
      </c>
      <c r="B353" s="230"/>
      <c r="C353" s="230"/>
      <c r="D353" s="230"/>
      <c r="E353" s="231" t="s">
        <v>139</v>
      </c>
      <c r="F353" s="231" t="s">
        <v>40</v>
      </c>
      <c r="G353" s="231" t="s">
        <v>1</v>
      </c>
    </row>
    <row r="354" spans="1:7" ht="18.75">
      <c r="A354" s="144" t="s">
        <v>427</v>
      </c>
      <c r="B354" s="228"/>
      <c r="C354" s="228"/>
      <c r="D354" s="228"/>
      <c r="E354" s="147">
        <v>410000</v>
      </c>
      <c r="F354" s="135">
        <v>87000</v>
      </c>
      <c r="G354" s="135"/>
    </row>
    <row r="355" spans="1:7" ht="18.75">
      <c r="A355" s="136"/>
      <c r="B355" s="124" t="s">
        <v>152</v>
      </c>
      <c r="E355" s="146">
        <v>110606</v>
      </c>
      <c r="F355" s="145"/>
      <c r="G355" s="125">
        <f>+F354</f>
        <v>87000</v>
      </c>
    </row>
    <row r="356" spans="1:7" ht="18.75">
      <c r="A356" s="138"/>
      <c r="B356" s="124"/>
      <c r="E356" s="145"/>
      <c r="F356" s="145"/>
      <c r="G356" s="125"/>
    </row>
    <row r="357" spans="1:7" ht="18.75">
      <c r="A357" s="138"/>
      <c r="B357" s="124"/>
      <c r="E357" s="145"/>
      <c r="F357" s="145"/>
      <c r="G357" s="125"/>
    </row>
    <row r="358" spans="1:7" ht="18.75">
      <c r="A358" s="138"/>
      <c r="B358" s="124"/>
      <c r="E358" s="145"/>
      <c r="F358" s="145"/>
      <c r="G358" s="125"/>
    </row>
    <row r="359" spans="1:7" ht="18.75">
      <c r="A359" s="123"/>
      <c r="B359" s="124"/>
      <c r="E359" s="145"/>
      <c r="F359" s="145"/>
      <c r="G359" s="125"/>
    </row>
    <row r="360" spans="1:7" ht="18.75">
      <c r="A360" s="123"/>
      <c r="B360" s="124"/>
      <c r="E360" s="145"/>
      <c r="F360" s="145"/>
      <c r="G360" s="125"/>
    </row>
    <row r="361" spans="1:7" ht="18.75">
      <c r="A361" s="123"/>
      <c r="B361" s="124"/>
      <c r="E361" s="145"/>
      <c r="F361" s="145"/>
      <c r="G361" s="125"/>
    </row>
    <row r="362" spans="1:7" ht="18.75">
      <c r="A362" s="123"/>
      <c r="B362" s="124"/>
      <c r="E362" s="145"/>
      <c r="F362" s="145"/>
      <c r="G362" s="125"/>
    </row>
    <row r="363" spans="1:7" ht="18.75">
      <c r="A363" s="123"/>
      <c r="B363" s="124"/>
      <c r="E363" s="145"/>
      <c r="F363" s="145"/>
      <c r="G363" s="125"/>
    </row>
    <row r="364" spans="1:7" ht="18.75">
      <c r="A364" s="123"/>
      <c r="B364" s="124"/>
      <c r="E364" s="145"/>
      <c r="F364" s="145"/>
      <c r="G364" s="125"/>
    </row>
    <row r="365" spans="1:7" ht="18.75">
      <c r="A365" s="123"/>
      <c r="B365" s="124"/>
      <c r="E365" s="145"/>
      <c r="F365" s="145"/>
      <c r="G365" s="125"/>
    </row>
    <row r="366" spans="1:7" ht="18.75">
      <c r="A366" s="123"/>
      <c r="B366" s="124"/>
      <c r="E366" s="145"/>
      <c r="F366" s="145"/>
      <c r="G366" s="125"/>
    </row>
    <row r="367" spans="1:7" ht="18.75">
      <c r="A367" s="123"/>
      <c r="B367" s="124"/>
      <c r="E367" s="145"/>
      <c r="F367" s="145"/>
      <c r="G367" s="125"/>
    </row>
    <row r="368" spans="1:7" ht="18.75">
      <c r="A368" s="123"/>
      <c r="B368" s="124"/>
      <c r="E368" s="145"/>
      <c r="F368" s="145"/>
      <c r="G368" s="125"/>
    </row>
    <row r="369" spans="1:7" ht="18.75">
      <c r="A369" s="123"/>
      <c r="B369" s="124"/>
      <c r="E369" s="145"/>
      <c r="F369" s="145"/>
      <c r="G369" s="125"/>
    </row>
    <row r="370" spans="1:7" ht="18.75">
      <c r="A370" s="127"/>
      <c r="B370" s="128"/>
      <c r="C370" s="128"/>
      <c r="D370" s="128"/>
      <c r="E370" s="127"/>
      <c r="F370" s="129"/>
      <c r="G370" s="129"/>
    </row>
    <row r="371" spans="6:7" ht="19.5" thickBot="1">
      <c r="F371" s="130">
        <f>SUM(F354:F370)</f>
        <v>87000</v>
      </c>
      <c r="G371" s="130">
        <f>SUM(G354:G370)</f>
        <v>87000</v>
      </c>
    </row>
    <row r="372" spans="6:7" ht="19.5" thickTop="1">
      <c r="F372" s="3"/>
      <c r="G372" s="3"/>
    </row>
    <row r="373" spans="1:7" ht="18.75">
      <c r="A373" s="4" t="s">
        <v>141</v>
      </c>
      <c r="B373" s="4" t="s">
        <v>626</v>
      </c>
      <c r="F373" s="3"/>
      <c r="G373" s="131"/>
    </row>
    <row r="374" spans="1:7" ht="18.75">
      <c r="A374" s="4" t="s">
        <v>627</v>
      </c>
      <c r="F374" s="3"/>
      <c r="G374" s="3"/>
    </row>
    <row r="375" spans="1:7" ht="18.75" hidden="1">
      <c r="A375" s="4" t="s">
        <v>422</v>
      </c>
      <c r="B375" s="4"/>
      <c r="F375" s="3"/>
      <c r="G375" s="3"/>
    </row>
    <row r="376" spans="2:7" ht="18.75">
      <c r="B376" s="4"/>
      <c r="F376" s="3"/>
      <c r="G376" s="3"/>
    </row>
    <row r="377" spans="1:7" ht="18.75">
      <c r="A377" s="693" t="s">
        <v>144</v>
      </c>
      <c r="B377" s="694"/>
      <c r="C377" s="695"/>
      <c r="D377" s="692" t="s">
        <v>143</v>
      </c>
      <c r="E377" s="692"/>
      <c r="F377" s="692" t="s">
        <v>142</v>
      </c>
      <c r="G377" s="692"/>
    </row>
    <row r="378" spans="1:7" ht="18.75">
      <c r="A378" s="123"/>
      <c r="B378" s="124"/>
      <c r="C378" s="126"/>
      <c r="D378" s="123"/>
      <c r="E378" s="126"/>
      <c r="F378" s="123"/>
      <c r="G378" s="126"/>
    </row>
    <row r="379" spans="1:7" ht="18.75">
      <c r="A379" s="123"/>
      <c r="B379" s="124"/>
      <c r="C379" s="126"/>
      <c r="D379" s="123"/>
      <c r="E379" s="126"/>
      <c r="F379" s="123"/>
      <c r="G379" s="126"/>
    </row>
    <row r="380" spans="1:7" ht="18.75">
      <c r="A380" s="696" t="s">
        <v>351</v>
      </c>
      <c r="B380" s="697"/>
      <c r="C380" s="698"/>
      <c r="D380" s="696" t="s">
        <v>33</v>
      </c>
      <c r="E380" s="698"/>
      <c r="F380" s="696" t="str">
        <f>+A380</f>
        <v>(นางสาววรรณา  ผลบุญ)</v>
      </c>
      <c r="G380" s="698"/>
    </row>
    <row r="381" spans="1:7" ht="18.75">
      <c r="A381" s="696" t="s">
        <v>570</v>
      </c>
      <c r="B381" s="697"/>
      <c r="C381" s="698"/>
      <c r="D381" s="696" t="s">
        <v>389</v>
      </c>
      <c r="E381" s="698"/>
      <c r="F381" s="696" t="str">
        <f>+A381</f>
        <v>นักวิชาการเงินและบัญชี</v>
      </c>
      <c r="G381" s="698"/>
    </row>
    <row r="382" spans="1:7" ht="18.75">
      <c r="A382" s="127"/>
      <c r="B382" s="128"/>
      <c r="C382" s="133"/>
      <c r="D382" s="687" t="s">
        <v>36</v>
      </c>
      <c r="E382" s="688"/>
      <c r="F382" s="127"/>
      <c r="G382" s="133"/>
    </row>
    <row r="383" ht="18.75">
      <c r="G383" s="118" t="s">
        <v>474</v>
      </c>
    </row>
    <row r="384" ht="18.75">
      <c r="G384" s="252" t="s">
        <v>469</v>
      </c>
    </row>
    <row r="385" spans="1:7" ht="18.75">
      <c r="A385" s="700" t="s">
        <v>153</v>
      </c>
      <c r="B385" s="700"/>
      <c r="C385" s="700"/>
      <c r="D385" s="700"/>
      <c r="E385" s="700"/>
      <c r="F385" s="700"/>
      <c r="G385" s="700"/>
    </row>
    <row r="386" ht="18.75">
      <c r="A386" s="4" t="s">
        <v>138</v>
      </c>
    </row>
    <row r="387" spans="1:7" ht="18.75">
      <c r="A387" s="253" t="s">
        <v>0</v>
      </c>
      <c r="B387" s="239"/>
      <c r="C387" s="239"/>
      <c r="D387" s="239"/>
      <c r="E387" s="240" t="s">
        <v>139</v>
      </c>
      <c r="F387" s="240" t="s">
        <v>40</v>
      </c>
      <c r="G387" s="240" t="s">
        <v>1</v>
      </c>
    </row>
    <row r="388" spans="1:9" ht="18.75">
      <c r="A388" s="144" t="s">
        <v>434</v>
      </c>
      <c r="B388" s="236"/>
      <c r="C388" s="236"/>
      <c r="D388" s="236"/>
      <c r="E388" s="147">
        <v>320000</v>
      </c>
      <c r="F388" s="135">
        <f>+G390*0.25</f>
        <v>29908.25</v>
      </c>
      <c r="G388" s="135"/>
      <c r="H388" s="3">
        <v>134263</v>
      </c>
      <c r="I388" s="113">
        <f>+H388-I392</f>
        <v>14630</v>
      </c>
    </row>
    <row r="389" spans="1:8" ht="18.75">
      <c r="A389" s="123" t="s">
        <v>15</v>
      </c>
      <c r="B389" s="124"/>
      <c r="E389" s="146">
        <v>300000</v>
      </c>
      <c r="F389" s="125">
        <f>+G390*75/100</f>
        <v>89724.75</v>
      </c>
      <c r="G389" s="125"/>
      <c r="H389" s="3">
        <f>60000+36000+3600</f>
        <v>99600</v>
      </c>
    </row>
    <row r="390" spans="1:11" ht="18.75">
      <c r="A390" s="138"/>
      <c r="B390" s="124" t="s">
        <v>130</v>
      </c>
      <c r="E390" s="146">
        <v>110605</v>
      </c>
      <c r="F390" s="145"/>
      <c r="G390" s="125">
        <v>119633</v>
      </c>
      <c r="H390" s="113">
        <f>+H388+H389</f>
        <v>233863</v>
      </c>
      <c r="I390" s="3">
        <v>96000</v>
      </c>
      <c r="K390" s="113">
        <f>+H390-I390</f>
        <v>137863</v>
      </c>
    </row>
    <row r="391" spans="1:7" ht="18.75">
      <c r="A391" s="138"/>
      <c r="B391" s="124"/>
      <c r="E391" s="145"/>
      <c r="F391" s="145"/>
      <c r="G391" s="125"/>
    </row>
    <row r="392" spans="1:11" ht="18.75">
      <c r="A392" s="138"/>
      <c r="B392" s="124"/>
      <c r="E392" s="145"/>
      <c r="F392" s="145"/>
      <c r="G392" s="125"/>
      <c r="H392" s="113">
        <f>+H390-119633</f>
        <v>114230</v>
      </c>
      <c r="I392" s="3">
        <f>122133-2500</f>
        <v>119633</v>
      </c>
      <c r="K392" s="113">
        <f>+K390-I392</f>
        <v>18230</v>
      </c>
    </row>
    <row r="393" spans="1:9" ht="18.75">
      <c r="A393" s="138"/>
      <c r="B393" s="124"/>
      <c r="E393" s="145"/>
      <c r="F393" s="145"/>
      <c r="G393" s="125"/>
      <c r="I393" s="113">
        <f>+I392+H389</f>
        <v>219233</v>
      </c>
    </row>
    <row r="394" spans="1:7" ht="18.75">
      <c r="A394" s="138"/>
      <c r="B394" s="124"/>
      <c r="E394" s="145"/>
      <c r="F394" s="145"/>
      <c r="G394" s="125"/>
    </row>
    <row r="395" spans="1:11" ht="18.75">
      <c r="A395" s="138"/>
      <c r="B395" s="124"/>
      <c r="E395" s="145"/>
      <c r="F395" s="145"/>
      <c r="G395" s="125"/>
      <c r="K395" s="2">
        <f>122133-2500</f>
        <v>119633</v>
      </c>
    </row>
    <row r="396" spans="1:7" ht="18.75">
      <c r="A396" s="138"/>
      <c r="B396" s="124"/>
      <c r="E396" s="145"/>
      <c r="F396" s="145"/>
      <c r="G396" s="125"/>
    </row>
    <row r="397" spans="1:7" ht="18.75">
      <c r="A397" s="138"/>
      <c r="B397" s="124"/>
      <c r="E397" s="145"/>
      <c r="F397" s="145"/>
      <c r="G397" s="125"/>
    </row>
    <row r="398" spans="1:7" ht="18.75">
      <c r="A398" s="123"/>
      <c r="B398" s="124"/>
      <c r="E398" s="145"/>
      <c r="F398" s="145"/>
      <c r="G398" s="125"/>
    </row>
    <row r="399" spans="1:7" ht="18.75">
      <c r="A399" s="123"/>
      <c r="B399" s="124"/>
      <c r="E399" s="145"/>
      <c r="F399" s="145"/>
      <c r="G399" s="125"/>
    </row>
    <row r="400" spans="1:7" ht="18.75">
      <c r="A400" s="123"/>
      <c r="B400" s="124"/>
      <c r="E400" s="145"/>
      <c r="F400" s="145"/>
      <c r="G400" s="125"/>
    </row>
    <row r="401" spans="1:7" ht="18.75">
      <c r="A401" s="123"/>
      <c r="B401" s="124"/>
      <c r="E401" s="145"/>
      <c r="F401" s="145"/>
      <c r="G401" s="125"/>
    </row>
    <row r="402" spans="1:7" ht="18.75">
      <c r="A402" s="123"/>
      <c r="B402" s="124"/>
      <c r="E402" s="145"/>
      <c r="F402" s="145"/>
      <c r="G402" s="125"/>
    </row>
    <row r="403" spans="1:7" ht="18.75">
      <c r="A403" s="123"/>
      <c r="B403" s="124"/>
      <c r="E403" s="145"/>
      <c r="F403" s="145"/>
      <c r="G403" s="125"/>
    </row>
    <row r="404" spans="1:7" ht="18.75">
      <c r="A404" s="127"/>
      <c r="B404" s="128"/>
      <c r="C404" s="128"/>
      <c r="D404" s="128"/>
      <c r="E404" s="127"/>
      <c r="F404" s="129"/>
      <c r="G404" s="129"/>
    </row>
    <row r="405" spans="6:7" ht="19.5" thickBot="1">
      <c r="F405" s="130">
        <f>SUM(F388:F404)</f>
        <v>119633</v>
      </c>
      <c r="G405" s="130">
        <f>SUM(G388:G404)</f>
        <v>119633</v>
      </c>
    </row>
    <row r="406" spans="6:7" ht="19.5" thickTop="1">
      <c r="F406" s="3"/>
      <c r="G406" s="3"/>
    </row>
    <row r="407" spans="1:7" ht="18.75">
      <c r="A407" s="4" t="s">
        <v>141</v>
      </c>
      <c r="B407" s="4" t="s">
        <v>475</v>
      </c>
      <c r="F407" s="3"/>
      <c r="G407" s="131"/>
    </row>
    <row r="408" spans="1:7" ht="18.75">
      <c r="A408" s="4" t="s">
        <v>476</v>
      </c>
      <c r="B408" s="4"/>
      <c r="F408" s="3"/>
      <c r="G408" s="131"/>
    </row>
    <row r="409" spans="2:7" ht="18.75">
      <c r="B409" s="4"/>
      <c r="F409" s="3"/>
      <c r="G409" s="3"/>
    </row>
    <row r="410" spans="1:7" ht="18.75">
      <c r="A410" s="693" t="s">
        <v>144</v>
      </c>
      <c r="B410" s="694"/>
      <c r="C410" s="695"/>
      <c r="D410" s="692" t="s">
        <v>143</v>
      </c>
      <c r="E410" s="692"/>
      <c r="F410" s="692" t="s">
        <v>142</v>
      </c>
      <c r="G410" s="692"/>
    </row>
    <row r="411" spans="1:7" ht="14.25" customHeight="1">
      <c r="A411" s="123"/>
      <c r="B411" s="124"/>
      <c r="C411" s="126"/>
      <c r="D411" s="123"/>
      <c r="E411" s="126"/>
      <c r="F411" s="123"/>
      <c r="G411" s="126"/>
    </row>
    <row r="412" spans="1:7" ht="18.75">
      <c r="A412" s="123"/>
      <c r="B412" s="124"/>
      <c r="C412" s="126"/>
      <c r="D412" s="123"/>
      <c r="E412" s="126"/>
      <c r="F412" s="123"/>
      <c r="G412" s="126"/>
    </row>
    <row r="413" spans="1:7" ht="18.75">
      <c r="A413" s="696" t="str">
        <f>+A380</f>
        <v>(นางสาววรรณา  ผลบุญ)</v>
      </c>
      <c r="B413" s="697"/>
      <c r="C413" s="698"/>
      <c r="D413" s="696" t="s">
        <v>33</v>
      </c>
      <c r="E413" s="698"/>
      <c r="F413" s="696" t="str">
        <f>+A413</f>
        <v>(นางสาววรรณา  ผลบุญ)</v>
      </c>
      <c r="G413" s="698"/>
    </row>
    <row r="414" spans="1:7" ht="18.75">
      <c r="A414" s="696" t="str">
        <f>+A381</f>
        <v>นักวิชาการเงินและบัญชี</v>
      </c>
      <c r="B414" s="697"/>
      <c r="C414" s="698"/>
      <c r="D414" s="696" t="s">
        <v>389</v>
      </c>
      <c r="E414" s="698"/>
      <c r="F414" s="696" t="str">
        <f>+A414</f>
        <v>นักวิชาการเงินและบัญชี</v>
      </c>
      <c r="G414" s="698"/>
    </row>
    <row r="415" spans="1:7" ht="18.75">
      <c r="A415" s="127"/>
      <c r="B415" s="128"/>
      <c r="C415" s="133"/>
      <c r="D415" s="687" t="s">
        <v>36</v>
      </c>
      <c r="E415" s="688"/>
      <c r="F415" s="127"/>
      <c r="G415" s="133"/>
    </row>
    <row r="416" ht="18.75">
      <c r="G416" s="118" t="s">
        <v>435</v>
      </c>
    </row>
    <row r="417" ht="18.75">
      <c r="G417" s="118" t="s">
        <v>433</v>
      </c>
    </row>
    <row r="418" spans="1:7" ht="18.75">
      <c r="A418" s="700" t="s">
        <v>153</v>
      </c>
      <c r="B418" s="700"/>
      <c r="C418" s="700"/>
      <c r="D418" s="700"/>
      <c r="E418" s="700"/>
      <c r="F418" s="700"/>
      <c r="G418" s="700"/>
    </row>
    <row r="419" ht="18.75">
      <c r="A419" s="4" t="s">
        <v>138</v>
      </c>
    </row>
    <row r="420" spans="1:7" ht="18.75">
      <c r="A420" s="238" t="s">
        <v>0</v>
      </c>
      <c r="B420" s="239"/>
      <c r="C420" s="239"/>
      <c r="D420" s="239"/>
      <c r="E420" s="240" t="s">
        <v>139</v>
      </c>
      <c r="F420" s="240" t="s">
        <v>40</v>
      </c>
      <c r="G420" s="240" t="s">
        <v>1</v>
      </c>
    </row>
    <row r="421" spans="1:7" ht="18.75">
      <c r="A421" s="144" t="s">
        <v>414</v>
      </c>
      <c r="B421" s="236"/>
      <c r="C421" s="236"/>
      <c r="D421" s="236"/>
      <c r="E421" s="237">
        <v>110605</v>
      </c>
      <c r="F421" s="135">
        <v>1707.67</v>
      </c>
      <c r="G421" s="135"/>
    </row>
    <row r="422" spans="1:7" ht="18.75">
      <c r="A422" s="136"/>
      <c r="B422" s="124" t="s">
        <v>436</v>
      </c>
      <c r="E422" s="237">
        <v>230199</v>
      </c>
      <c r="F422" s="145"/>
      <c r="G422" s="125">
        <f>+F421</f>
        <v>1707.67</v>
      </c>
    </row>
    <row r="423" spans="1:7" ht="18.75">
      <c r="A423" s="138"/>
      <c r="B423" s="124"/>
      <c r="E423" s="146"/>
      <c r="F423" s="145"/>
      <c r="G423" s="125"/>
    </row>
    <row r="424" spans="1:7" ht="18.75">
      <c r="A424" s="138"/>
      <c r="B424" s="124"/>
      <c r="E424" s="145"/>
      <c r="F424" s="145"/>
      <c r="G424" s="125"/>
    </row>
    <row r="425" spans="1:7" ht="18.75">
      <c r="A425" s="138"/>
      <c r="B425" s="124"/>
      <c r="E425" s="145"/>
      <c r="F425" s="145"/>
      <c r="G425" s="125"/>
    </row>
    <row r="426" spans="1:7" ht="18.75">
      <c r="A426" s="123"/>
      <c r="B426" s="124"/>
      <c r="E426" s="145"/>
      <c r="F426" s="145"/>
      <c r="G426" s="125"/>
    </row>
    <row r="427" spans="1:7" ht="18.75">
      <c r="A427" s="123"/>
      <c r="B427" s="124"/>
      <c r="E427" s="145"/>
      <c r="F427" s="145"/>
      <c r="G427" s="125"/>
    </row>
    <row r="428" spans="1:7" ht="18.75">
      <c r="A428" s="123"/>
      <c r="B428" s="124"/>
      <c r="E428" s="145"/>
      <c r="F428" s="145"/>
      <c r="G428" s="125"/>
    </row>
    <row r="429" spans="1:7" ht="18.75">
      <c r="A429" s="123"/>
      <c r="B429" s="124"/>
      <c r="E429" s="145"/>
      <c r="F429" s="145"/>
      <c r="G429" s="125"/>
    </row>
    <row r="430" spans="1:7" ht="18.75">
      <c r="A430" s="123"/>
      <c r="B430" s="124"/>
      <c r="E430" s="145"/>
      <c r="F430" s="145"/>
      <c r="G430" s="125"/>
    </row>
    <row r="431" spans="1:7" ht="18.75">
      <c r="A431" s="123"/>
      <c r="B431" s="124"/>
      <c r="E431" s="145"/>
      <c r="F431" s="145"/>
      <c r="G431" s="125"/>
    </row>
    <row r="432" spans="1:7" ht="18.75">
      <c r="A432" s="123"/>
      <c r="B432" s="124"/>
      <c r="E432" s="145"/>
      <c r="F432" s="145"/>
      <c r="G432" s="125"/>
    </row>
    <row r="433" spans="1:7" ht="18.75">
      <c r="A433" s="123"/>
      <c r="B433" s="124"/>
      <c r="E433" s="145"/>
      <c r="F433" s="145"/>
      <c r="G433" s="125"/>
    </row>
    <row r="434" spans="1:7" ht="18.75">
      <c r="A434" s="123"/>
      <c r="B434" s="124"/>
      <c r="E434" s="145"/>
      <c r="F434" s="145"/>
      <c r="G434" s="125"/>
    </row>
    <row r="435" spans="1:7" ht="18.75">
      <c r="A435" s="123"/>
      <c r="B435" s="124"/>
      <c r="E435" s="145"/>
      <c r="F435" s="145"/>
      <c r="G435" s="125"/>
    </row>
    <row r="436" spans="1:7" ht="18.75">
      <c r="A436" s="127"/>
      <c r="B436" s="128"/>
      <c r="C436" s="128"/>
      <c r="D436" s="128"/>
      <c r="E436" s="127"/>
      <c r="F436" s="129"/>
      <c r="G436" s="129"/>
    </row>
    <row r="437" spans="6:7" ht="19.5" thickBot="1">
      <c r="F437" s="130">
        <f>SUM(F421:F436)</f>
        <v>1707.67</v>
      </c>
      <c r="G437" s="130">
        <f>SUM(G421:G436)</f>
        <v>1707.67</v>
      </c>
    </row>
    <row r="438" spans="6:7" ht="19.5" thickTop="1">
      <c r="F438" s="3"/>
      <c r="G438" s="3"/>
    </row>
    <row r="439" spans="1:7" ht="18.75">
      <c r="A439" s="4" t="s">
        <v>141</v>
      </c>
      <c r="B439" s="4" t="s">
        <v>437</v>
      </c>
      <c r="F439" s="3"/>
      <c r="G439" s="131"/>
    </row>
    <row r="440" spans="1:7" ht="18.75">
      <c r="A440" s="4" t="s">
        <v>438</v>
      </c>
      <c r="F440" s="3"/>
      <c r="G440" s="3"/>
    </row>
    <row r="441" spans="1:7" ht="18.75">
      <c r="A441" s="4"/>
      <c r="B441" s="4"/>
      <c r="F441" s="3"/>
      <c r="G441" s="3"/>
    </row>
    <row r="442" spans="1:7" ht="18.75">
      <c r="A442" s="693" t="s">
        <v>144</v>
      </c>
      <c r="B442" s="694"/>
      <c r="C442" s="695"/>
      <c r="D442" s="692" t="s">
        <v>143</v>
      </c>
      <c r="E442" s="692"/>
      <c r="F442" s="692" t="s">
        <v>142</v>
      </c>
      <c r="G442" s="692"/>
    </row>
    <row r="443" spans="1:7" ht="18.75">
      <c r="A443" s="123"/>
      <c r="B443" s="124"/>
      <c r="C443" s="126"/>
      <c r="D443" s="123"/>
      <c r="E443" s="126"/>
      <c r="F443" s="123"/>
      <c r="G443" s="126"/>
    </row>
    <row r="444" spans="1:7" ht="18.75">
      <c r="A444" s="696" t="s">
        <v>351</v>
      </c>
      <c r="B444" s="697"/>
      <c r="C444" s="698"/>
      <c r="D444" s="696" t="s">
        <v>33</v>
      </c>
      <c r="E444" s="698"/>
      <c r="F444" s="696" t="str">
        <f>+A444</f>
        <v>(นางสาววรรณา  ผลบุญ)</v>
      </c>
      <c r="G444" s="698"/>
    </row>
    <row r="445" spans="1:7" ht="18.75">
      <c r="A445" s="696" t="s">
        <v>352</v>
      </c>
      <c r="B445" s="697"/>
      <c r="C445" s="698"/>
      <c r="D445" s="696" t="s">
        <v>389</v>
      </c>
      <c r="E445" s="698"/>
      <c r="F445" s="696" t="str">
        <f>+A445</f>
        <v>เจ้าพนักงานการเงินและบัญชี</v>
      </c>
      <c r="G445" s="698"/>
    </row>
    <row r="446" spans="1:7" ht="18.75">
      <c r="A446" s="127"/>
      <c r="B446" s="128"/>
      <c r="C446" s="133"/>
      <c r="D446" s="687" t="s">
        <v>36</v>
      </c>
      <c r="E446" s="688"/>
      <c r="F446" s="127"/>
      <c r="G446" s="133"/>
    </row>
    <row r="447" ht="18.75">
      <c r="G447" s="118" t="s">
        <v>443</v>
      </c>
    </row>
    <row r="448" ht="18.75">
      <c r="G448" s="118" t="s">
        <v>433</v>
      </c>
    </row>
    <row r="449" spans="1:7" ht="18.75">
      <c r="A449" s="700" t="s">
        <v>153</v>
      </c>
      <c r="B449" s="700"/>
      <c r="C449" s="700"/>
      <c r="D449" s="700"/>
      <c r="E449" s="700"/>
      <c r="F449" s="700"/>
      <c r="G449" s="700"/>
    </row>
    <row r="450" ht="18.75">
      <c r="A450" s="4" t="s">
        <v>138</v>
      </c>
    </row>
    <row r="451" spans="1:7" ht="18.75">
      <c r="A451" s="243" t="s">
        <v>0</v>
      </c>
      <c r="B451" s="244"/>
      <c r="C451" s="244"/>
      <c r="D451" s="244"/>
      <c r="E451" s="245" t="s">
        <v>139</v>
      </c>
      <c r="F451" s="245" t="s">
        <v>40</v>
      </c>
      <c r="G451" s="245" t="s">
        <v>1</v>
      </c>
    </row>
    <row r="452" spans="1:7" ht="18.75">
      <c r="A452" s="144" t="s">
        <v>444</v>
      </c>
      <c r="B452" s="241"/>
      <c r="C452" s="241"/>
      <c r="D452" s="241"/>
      <c r="E452" s="242">
        <v>230108</v>
      </c>
      <c r="F452" s="135">
        <v>114850</v>
      </c>
      <c r="G452" s="135"/>
    </row>
    <row r="453" spans="1:7" ht="18.75">
      <c r="A453" s="136"/>
      <c r="B453" s="124" t="s">
        <v>15</v>
      </c>
      <c r="E453" s="242">
        <v>300000</v>
      </c>
      <c r="F453" s="145"/>
      <c r="G453" s="125">
        <f>+F452</f>
        <v>114850</v>
      </c>
    </row>
    <row r="454" spans="1:7" ht="18.75">
      <c r="A454" s="138"/>
      <c r="B454" s="124"/>
      <c r="E454" s="146"/>
      <c r="F454" s="145"/>
      <c r="G454" s="125"/>
    </row>
    <row r="455" spans="1:7" ht="18.75">
      <c r="A455" s="138"/>
      <c r="B455" s="124"/>
      <c r="E455" s="145"/>
      <c r="F455" s="145"/>
      <c r="G455" s="125"/>
    </row>
    <row r="456" spans="1:7" ht="18.75">
      <c r="A456" s="138"/>
      <c r="B456" s="124"/>
      <c r="E456" s="145"/>
      <c r="F456" s="145"/>
      <c r="G456" s="125"/>
    </row>
    <row r="457" spans="1:7" ht="18.75">
      <c r="A457" s="123"/>
      <c r="B457" s="124"/>
      <c r="E457" s="145"/>
      <c r="F457" s="145"/>
      <c r="G457" s="125"/>
    </row>
    <row r="458" spans="1:7" ht="18.75">
      <c r="A458" s="123"/>
      <c r="B458" s="124"/>
      <c r="E458" s="145"/>
      <c r="F458" s="145"/>
      <c r="G458" s="125"/>
    </row>
    <row r="459" spans="1:7" ht="18.75">
      <c r="A459" s="123"/>
      <c r="B459" s="124"/>
      <c r="E459" s="145"/>
      <c r="F459" s="145"/>
      <c r="G459" s="125"/>
    </row>
    <row r="460" spans="1:7" ht="18.75">
      <c r="A460" s="123"/>
      <c r="B460" s="124"/>
      <c r="E460" s="145"/>
      <c r="F460" s="145"/>
      <c r="G460" s="125"/>
    </row>
    <row r="461" spans="1:7" ht="18.75">
      <c r="A461" s="123"/>
      <c r="B461" s="124"/>
      <c r="E461" s="145"/>
      <c r="F461" s="145"/>
      <c r="G461" s="125"/>
    </row>
    <row r="462" spans="1:7" ht="18.75">
      <c r="A462" s="123"/>
      <c r="B462" s="124"/>
      <c r="E462" s="145"/>
      <c r="F462" s="145"/>
      <c r="G462" s="125"/>
    </row>
    <row r="463" spans="1:7" ht="18.75">
      <c r="A463" s="123"/>
      <c r="B463" s="124"/>
      <c r="E463" s="145"/>
      <c r="F463" s="145"/>
      <c r="G463" s="125"/>
    </row>
    <row r="464" spans="1:7" ht="18.75">
      <c r="A464" s="123"/>
      <c r="B464" s="124"/>
      <c r="E464" s="145"/>
      <c r="F464" s="145"/>
      <c r="G464" s="125"/>
    </row>
    <row r="465" spans="1:7" ht="18.75">
      <c r="A465" s="127"/>
      <c r="B465" s="128"/>
      <c r="C465" s="128"/>
      <c r="D465" s="128"/>
      <c r="E465" s="127"/>
      <c r="F465" s="129"/>
      <c r="G465" s="129"/>
    </row>
    <row r="466" spans="6:7" ht="19.5" thickBot="1">
      <c r="F466" s="130">
        <f>SUM(F452:F465)</f>
        <v>114850</v>
      </c>
      <c r="G466" s="130">
        <f>SUM(G452:G465)</f>
        <v>114850</v>
      </c>
    </row>
    <row r="467" spans="6:7" ht="19.5" thickTop="1">
      <c r="F467" s="3"/>
      <c r="G467" s="3"/>
    </row>
    <row r="468" spans="1:7" ht="18.75">
      <c r="A468" s="4" t="s">
        <v>141</v>
      </c>
      <c r="B468" s="4" t="s">
        <v>445</v>
      </c>
      <c r="F468" s="3"/>
      <c r="G468" s="131"/>
    </row>
    <row r="469" spans="1:7" ht="18.75">
      <c r="A469" s="4" t="s">
        <v>446</v>
      </c>
      <c r="F469" s="3"/>
      <c r="G469" s="3"/>
    </row>
    <row r="470" spans="1:7" ht="18.75">
      <c r="A470" s="4" t="s">
        <v>447</v>
      </c>
      <c r="B470" s="4"/>
      <c r="F470" s="3"/>
      <c r="G470" s="3"/>
    </row>
    <row r="471" spans="1:7" ht="18.75">
      <c r="A471" s="693" t="s">
        <v>144</v>
      </c>
      <c r="B471" s="694"/>
      <c r="C471" s="695"/>
      <c r="D471" s="692" t="s">
        <v>143</v>
      </c>
      <c r="E471" s="692"/>
      <c r="F471" s="692" t="s">
        <v>142</v>
      </c>
      <c r="G471" s="692"/>
    </row>
    <row r="472" spans="1:7" ht="25.5" customHeight="1">
      <c r="A472" s="123"/>
      <c r="B472" s="124"/>
      <c r="C472" s="126"/>
      <c r="D472" s="123"/>
      <c r="E472" s="126"/>
      <c r="F472" s="123"/>
      <c r="G472" s="126"/>
    </row>
    <row r="473" spans="1:7" ht="18.75">
      <c r="A473" s="696" t="s">
        <v>351</v>
      </c>
      <c r="B473" s="697"/>
      <c r="C473" s="698"/>
      <c r="D473" s="696" t="s">
        <v>33</v>
      </c>
      <c r="E473" s="698"/>
      <c r="F473" s="696" t="str">
        <f>+A473</f>
        <v>(นางสาววรรณา  ผลบุญ)</v>
      </c>
      <c r="G473" s="698"/>
    </row>
    <row r="474" spans="1:7" ht="18.75">
      <c r="A474" s="696" t="s">
        <v>352</v>
      </c>
      <c r="B474" s="697"/>
      <c r="C474" s="698"/>
      <c r="D474" s="696" t="s">
        <v>389</v>
      </c>
      <c r="E474" s="698"/>
      <c r="F474" s="696" t="str">
        <f>+A474</f>
        <v>เจ้าพนักงานการเงินและบัญชี</v>
      </c>
      <c r="G474" s="698"/>
    </row>
    <row r="475" spans="1:7" ht="18.75">
      <c r="A475" s="127"/>
      <c r="B475" s="128"/>
      <c r="C475" s="133"/>
      <c r="D475" s="687" t="s">
        <v>36</v>
      </c>
      <c r="E475" s="688"/>
      <c r="F475" s="127"/>
      <c r="G475" s="133"/>
    </row>
    <row r="476" ht="18.75">
      <c r="G476" s="118" t="s">
        <v>489</v>
      </c>
    </row>
    <row r="477" ht="18.75">
      <c r="G477" s="118" t="s">
        <v>479</v>
      </c>
    </row>
    <row r="478" spans="1:7" ht="18.75">
      <c r="A478" s="700" t="s">
        <v>153</v>
      </c>
      <c r="B478" s="700"/>
      <c r="C478" s="700"/>
      <c r="D478" s="700"/>
      <c r="E478" s="700"/>
      <c r="F478" s="700"/>
      <c r="G478" s="700"/>
    </row>
    <row r="479" ht="18.75">
      <c r="A479" s="4" t="s">
        <v>138</v>
      </c>
    </row>
    <row r="480" spans="1:7" ht="18.75">
      <c r="A480" s="274" t="s">
        <v>0</v>
      </c>
      <c r="B480" s="275"/>
      <c r="C480" s="275"/>
      <c r="D480" s="275"/>
      <c r="E480" s="276" t="s">
        <v>139</v>
      </c>
      <c r="F480" s="276" t="s">
        <v>40</v>
      </c>
      <c r="G480" s="276" t="s">
        <v>1</v>
      </c>
    </row>
    <row r="481" spans="1:7" ht="18.75">
      <c r="A481" s="144" t="s">
        <v>70</v>
      </c>
      <c r="B481" s="272"/>
      <c r="C481" s="272"/>
      <c r="D481" s="272"/>
      <c r="E481" s="273">
        <v>210300</v>
      </c>
      <c r="F481" s="135">
        <v>14</v>
      </c>
      <c r="G481" s="135"/>
    </row>
    <row r="482" spans="1:7" ht="18.75">
      <c r="A482" s="136"/>
      <c r="B482" s="124" t="s">
        <v>368</v>
      </c>
      <c r="E482" s="273">
        <v>441000</v>
      </c>
      <c r="F482" s="145"/>
      <c r="G482" s="125">
        <f>+F481</f>
        <v>14</v>
      </c>
    </row>
    <row r="483" spans="1:7" ht="18.75">
      <c r="A483" s="138"/>
      <c r="B483" s="124"/>
      <c r="E483" s="146"/>
      <c r="F483" s="145"/>
      <c r="G483" s="125"/>
    </row>
    <row r="484" spans="1:7" ht="18.75">
      <c r="A484" s="138"/>
      <c r="B484" s="124"/>
      <c r="E484" s="145"/>
      <c r="F484" s="145"/>
      <c r="G484" s="125"/>
    </row>
    <row r="485" spans="1:7" ht="18.75">
      <c r="A485" s="138"/>
      <c r="B485" s="124"/>
      <c r="E485" s="145"/>
      <c r="F485" s="145"/>
      <c r="G485" s="125"/>
    </row>
    <row r="486" spans="1:7" ht="18.75">
      <c r="A486" s="123"/>
      <c r="B486" s="124"/>
      <c r="E486" s="145"/>
      <c r="F486" s="145"/>
      <c r="G486" s="125"/>
    </row>
    <row r="487" spans="1:7" ht="18.75">
      <c r="A487" s="123"/>
      <c r="B487" s="124"/>
      <c r="E487" s="145"/>
      <c r="F487" s="145"/>
      <c r="G487" s="125"/>
    </row>
    <row r="488" spans="1:7" ht="18.75">
      <c r="A488" s="123"/>
      <c r="B488" s="124"/>
      <c r="E488" s="145"/>
      <c r="F488" s="145"/>
      <c r="G488" s="125"/>
    </row>
    <row r="489" spans="1:7" ht="18.75">
      <c r="A489" s="123"/>
      <c r="B489" s="124"/>
      <c r="E489" s="145"/>
      <c r="F489" s="145"/>
      <c r="G489" s="125"/>
    </row>
    <row r="490" spans="1:7" ht="18.75">
      <c r="A490" s="123"/>
      <c r="B490" s="124"/>
      <c r="E490" s="145"/>
      <c r="F490" s="145"/>
      <c r="G490" s="125"/>
    </row>
    <row r="491" spans="1:7" ht="18.75">
      <c r="A491" s="123"/>
      <c r="B491" s="124"/>
      <c r="E491" s="145"/>
      <c r="F491" s="145"/>
      <c r="G491" s="125"/>
    </row>
    <row r="492" spans="1:7" ht="18.75">
      <c r="A492" s="123"/>
      <c r="B492" s="124"/>
      <c r="E492" s="145"/>
      <c r="F492" s="145"/>
      <c r="G492" s="125"/>
    </row>
    <row r="493" spans="1:7" ht="18.75">
      <c r="A493" s="123"/>
      <c r="B493" s="124"/>
      <c r="E493" s="145"/>
      <c r="F493" s="145"/>
      <c r="G493" s="125"/>
    </row>
    <row r="494" spans="1:7" ht="18.75">
      <c r="A494" s="123"/>
      <c r="B494" s="124"/>
      <c r="E494" s="145"/>
      <c r="F494" s="145"/>
      <c r="G494" s="125"/>
    </row>
    <row r="495" spans="1:7" ht="18.75">
      <c r="A495" s="123"/>
      <c r="B495" s="124"/>
      <c r="E495" s="145"/>
      <c r="F495" s="145"/>
      <c r="G495" s="125"/>
    </row>
    <row r="496" spans="1:7" ht="18.75">
      <c r="A496" s="123"/>
      <c r="B496" s="124"/>
      <c r="E496" s="145"/>
      <c r="F496" s="145"/>
      <c r="G496" s="125"/>
    </row>
    <row r="497" spans="1:7" ht="18.75">
      <c r="A497" s="127"/>
      <c r="B497" s="128"/>
      <c r="C497" s="128"/>
      <c r="D497" s="128"/>
      <c r="E497" s="127"/>
      <c r="F497" s="129"/>
      <c r="G497" s="129"/>
    </row>
    <row r="498" spans="6:7" ht="19.5" thickBot="1">
      <c r="F498" s="130">
        <f>SUM(F481:F497)</f>
        <v>14</v>
      </c>
      <c r="G498" s="130">
        <f>SUM(G481:G497)</f>
        <v>14</v>
      </c>
    </row>
    <row r="499" spans="6:7" ht="19.5" thickTop="1">
      <c r="F499" s="3"/>
      <c r="G499" s="3"/>
    </row>
    <row r="500" spans="1:7" ht="18.75">
      <c r="A500" s="4" t="s">
        <v>141</v>
      </c>
      <c r="B500" s="4" t="s">
        <v>493</v>
      </c>
      <c r="F500" s="3"/>
      <c r="G500" s="131"/>
    </row>
    <row r="501" spans="1:7" ht="18.75">
      <c r="A501" s="4" t="s">
        <v>494</v>
      </c>
      <c r="F501" s="3"/>
      <c r="G501" s="3"/>
    </row>
    <row r="502" spans="1:7" ht="18.75">
      <c r="A502" s="4" t="s">
        <v>495</v>
      </c>
      <c r="B502" s="4"/>
      <c r="F502" s="3"/>
      <c r="G502" s="3"/>
    </row>
    <row r="503" spans="1:7" ht="18.75">
      <c r="A503" s="693" t="s">
        <v>144</v>
      </c>
      <c r="B503" s="694"/>
      <c r="C503" s="695"/>
      <c r="D503" s="692" t="s">
        <v>143</v>
      </c>
      <c r="E503" s="692"/>
      <c r="F503" s="692" t="s">
        <v>142</v>
      </c>
      <c r="G503" s="692"/>
    </row>
    <row r="504" spans="1:7" ht="18.75">
      <c r="A504" s="123"/>
      <c r="B504" s="124"/>
      <c r="C504" s="126"/>
      <c r="D504" s="123"/>
      <c r="E504" s="126"/>
      <c r="F504" s="123"/>
      <c r="G504" s="126"/>
    </row>
    <row r="505" spans="1:7" ht="18.75">
      <c r="A505" s="696" t="s">
        <v>351</v>
      </c>
      <c r="B505" s="697"/>
      <c r="C505" s="698"/>
      <c r="D505" s="696" t="s">
        <v>33</v>
      </c>
      <c r="E505" s="698"/>
      <c r="F505" s="696" t="str">
        <f>+A505</f>
        <v>(นางสาววรรณา  ผลบุญ)</v>
      </c>
      <c r="G505" s="698"/>
    </row>
    <row r="506" spans="1:7" ht="18.75">
      <c r="A506" s="696" t="s">
        <v>352</v>
      </c>
      <c r="B506" s="697"/>
      <c r="C506" s="698"/>
      <c r="D506" s="696" t="s">
        <v>389</v>
      </c>
      <c r="E506" s="698"/>
      <c r="F506" s="696" t="str">
        <f>+A506</f>
        <v>เจ้าพนักงานการเงินและบัญชี</v>
      </c>
      <c r="G506" s="698"/>
    </row>
    <row r="507" spans="1:7" ht="18.75">
      <c r="A507" s="127"/>
      <c r="B507" s="128"/>
      <c r="C507" s="133"/>
      <c r="D507" s="687" t="s">
        <v>36</v>
      </c>
      <c r="E507" s="688"/>
      <c r="F507" s="127"/>
      <c r="G507" s="133"/>
    </row>
    <row r="508" ht="18.75">
      <c r="G508" s="118" t="s">
        <v>500</v>
      </c>
    </row>
    <row r="509" ht="18.75">
      <c r="G509" s="118" t="s">
        <v>479</v>
      </c>
    </row>
    <row r="510" spans="1:7" ht="18.75">
      <c r="A510" s="700" t="s">
        <v>153</v>
      </c>
      <c r="B510" s="700"/>
      <c r="C510" s="700"/>
      <c r="D510" s="700"/>
      <c r="E510" s="700"/>
      <c r="F510" s="700"/>
      <c r="G510" s="700"/>
    </row>
    <row r="511" ht="18.75">
      <c r="A511" s="4" t="s">
        <v>138</v>
      </c>
    </row>
    <row r="512" spans="1:7" ht="18.75">
      <c r="A512" s="279" t="s">
        <v>0</v>
      </c>
      <c r="B512" s="280"/>
      <c r="C512" s="280"/>
      <c r="D512" s="280"/>
      <c r="E512" s="281" t="s">
        <v>139</v>
      </c>
      <c r="F512" s="281" t="s">
        <v>40</v>
      </c>
      <c r="G512" s="281" t="s">
        <v>1</v>
      </c>
    </row>
    <row r="513" spans="1:7" ht="18.75">
      <c r="A513" s="144" t="s">
        <v>10</v>
      </c>
      <c r="B513" s="277"/>
      <c r="C513" s="277"/>
      <c r="D513" s="277"/>
      <c r="E513" s="278">
        <v>542000</v>
      </c>
      <c r="F513" s="135">
        <v>91400</v>
      </c>
      <c r="G513" s="135"/>
    </row>
    <row r="514" spans="1:7" ht="18.75">
      <c r="A514" s="136"/>
      <c r="B514" s="124" t="s">
        <v>14</v>
      </c>
      <c r="E514" s="278">
        <v>210400</v>
      </c>
      <c r="F514" s="145"/>
      <c r="G514" s="125">
        <f>+F513</f>
        <v>91400</v>
      </c>
    </row>
    <row r="515" spans="1:7" ht="18.75">
      <c r="A515" s="138"/>
      <c r="B515" s="124"/>
      <c r="E515" s="146"/>
      <c r="F515" s="145"/>
      <c r="G515" s="125"/>
    </row>
    <row r="516" spans="1:7" ht="18.75">
      <c r="A516" s="138"/>
      <c r="B516" s="124"/>
      <c r="E516" s="145"/>
      <c r="F516" s="145"/>
      <c r="G516" s="125"/>
    </row>
    <row r="517" spans="1:7" ht="18.75">
      <c r="A517" s="138"/>
      <c r="B517" s="124"/>
      <c r="E517" s="145"/>
      <c r="F517" s="145"/>
      <c r="G517" s="125"/>
    </row>
    <row r="518" spans="1:7" ht="18.75">
      <c r="A518" s="123"/>
      <c r="B518" s="124"/>
      <c r="E518" s="145"/>
      <c r="F518" s="145"/>
      <c r="G518" s="125"/>
    </row>
    <row r="519" spans="1:7" ht="18.75">
      <c r="A519" s="123"/>
      <c r="B519" s="124"/>
      <c r="E519" s="145"/>
      <c r="F519" s="145"/>
      <c r="G519" s="125"/>
    </row>
    <row r="520" spans="1:7" ht="18.75">
      <c r="A520" s="123"/>
      <c r="B520" s="124"/>
      <c r="E520" s="145"/>
      <c r="F520" s="145"/>
      <c r="G520" s="125"/>
    </row>
    <row r="521" spans="1:7" ht="18.75">
      <c r="A521" s="123"/>
      <c r="B521" s="124"/>
      <c r="E521" s="145"/>
      <c r="F521" s="145"/>
      <c r="G521" s="125"/>
    </row>
    <row r="522" spans="1:7" ht="18.75">
      <c r="A522" s="123"/>
      <c r="B522" s="124"/>
      <c r="E522" s="145"/>
      <c r="F522" s="145"/>
      <c r="G522" s="125"/>
    </row>
    <row r="523" spans="1:7" ht="18.75">
      <c r="A523" s="123"/>
      <c r="B523" s="124"/>
      <c r="E523" s="145"/>
      <c r="F523" s="145"/>
      <c r="G523" s="125"/>
    </row>
    <row r="524" spans="1:7" ht="18.75">
      <c r="A524" s="123"/>
      <c r="B524" s="124"/>
      <c r="E524" s="145"/>
      <c r="F524" s="145"/>
      <c r="G524" s="125"/>
    </row>
    <row r="525" spans="1:7" ht="18.75">
      <c r="A525" s="123"/>
      <c r="B525" s="124"/>
      <c r="E525" s="145"/>
      <c r="F525" s="145"/>
      <c r="G525" s="125"/>
    </row>
    <row r="526" spans="1:7" ht="18.75">
      <c r="A526" s="123"/>
      <c r="B526" s="124"/>
      <c r="E526" s="145"/>
      <c r="F526" s="145"/>
      <c r="G526" s="125"/>
    </row>
    <row r="527" spans="1:7" ht="18.75">
      <c r="A527" s="123"/>
      <c r="B527" s="124"/>
      <c r="E527" s="145"/>
      <c r="F527" s="145"/>
      <c r="G527" s="125"/>
    </row>
    <row r="528" spans="1:7" ht="18.75">
      <c r="A528" s="123"/>
      <c r="B528" s="124"/>
      <c r="E528" s="145"/>
      <c r="F528" s="145"/>
      <c r="G528" s="125"/>
    </row>
    <row r="529" spans="1:7" ht="18.75">
      <c r="A529" s="127"/>
      <c r="B529" s="128"/>
      <c r="C529" s="128"/>
      <c r="D529" s="128"/>
      <c r="E529" s="127"/>
      <c r="F529" s="129"/>
      <c r="G529" s="129"/>
    </row>
    <row r="530" spans="6:7" ht="19.5" thickBot="1">
      <c r="F530" s="130">
        <f>SUM(F513:F529)</f>
        <v>91400</v>
      </c>
      <c r="G530" s="130">
        <f>SUM(G513:G529)</f>
        <v>91400</v>
      </c>
    </row>
    <row r="531" spans="6:7" ht="19.5" thickTop="1">
      <c r="F531" s="3"/>
      <c r="G531" s="3"/>
    </row>
    <row r="532" spans="1:8" ht="18.75">
      <c r="A532" s="4" t="s">
        <v>141</v>
      </c>
      <c r="B532" s="4" t="s">
        <v>501</v>
      </c>
      <c r="E532" s="173"/>
      <c r="F532" s="3"/>
      <c r="G532" s="131"/>
      <c r="H532" s="3"/>
    </row>
    <row r="533" spans="2:8" ht="18.75">
      <c r="B533" s="4" t="s">
        <v>502</v>
      </c>
      <c r="E533" s="173"/>
      <c r="F533" s="3"/>
      <c r="G533" s="3"/>
      <c r="H533" s="3"/>
    </row>
    <row r="534" spans="1:7" ht="18.75">
      <c r="A534" s="4"/>
      <c r="B534" s="4" t="s">
        <v>503</v>
      </c>
      <c r="F534" s="3"/>
      <c r="G534" s="3"/>
    </row>
    <row r="535" spans="1:7" ht="18.75">
      <c r="A535" s="693" t="s">
        <v>144</v>
      </c>
      <c r="B535" s="694"/>
      <c r="C535" s="695"/>
      <c r="D535" s="692" t="s">
        <v>143</v>
      </c>
      <c r="E535" s="692"/>
      <c r="F535" s="692" t="s">
        <v>142</v>
      </c>
      <c r="G535" s="692"/>
    </row>
    <row r="536" spans="1:7" ht="18.75">
      <c r="A536" s="123"/>
      <c r="B536" s="124"/>
      <c r="C536" s="126"/>
      <c r="D536" s="123"/>
      <c r="E536" s="126"/>
      <c r="F536" s="123"/>
      <c r="G536" s="126"/>
    </row>
    <row r="537" spans="1:7" ht="18.75">
      <c r="A537" s="696" t="s">
        <v>351</v>
      </c>
      <c r="B537" s="697"/>
      <c r="C537" s="698"/>
      <c r="D537" s="696" t="s">
        <v>33</v>
      </c>
      <c r="E537" s="698"/>
      <c r="F537" s="696" t="str">
        <f>+A537</f>
        <v>(นางสาววรรณา  ผลบุญ)</v>
      </c>
      <c r="G537" s="698"/>
    </row>
    <row r="538" spans="1:7" ht="18.75">
      <c r="A538" s="696" t="s">
        <v>352</v>
      </c>
      <c r="B538" s="697"/>
      <c r="C538" s="698"/>
      <c r="D538" s="696" t="s">
        <v>389</v>
      </c>
      <c r="E538" s="698"/>
      <c r="F538" s="696" t="str">
        <f>+A538</f>
        <v>เจ้าพนักงานการเงินและบัญชี</v>
      </c>
      <c r="G538" s="698"/>
    </row>
    <row r="539" spans="1:7" ht="18.75">
      <c r="A539" s="127"/>
      <c r="B539" s="128"/>
      <c r="C539" s="133"/>
      <c r="D539" s="687" t="s">
        <v>36</v>
      </c>
      <c r="E539" s="688"/>
      <c r="F539" s="127"/>
      <c r="G539" s="133"/>
    </row>
    <row r="540" ht="18.75">
      <c r="G540" s="118" t="s">
        <v>508</v>
      </c>
    </row>
    <row r="541" ht="18.75">
      <c r="G541" s="118" t="s">
        <v>479</v>
      </c>
    </row>
    <row r="542" spans="1:7" ht="18.75">
      <c r="A542" s="700" t="s">
        <v>153</v>
      </c>
      <c r="B542" s="700"/>
      <c r="C542" s="700"/>
      <c r="D542" s="700"/>
      <c r="E542" s="700"/>
      <c r="F542" s="700"/>
      <c r="G542" s="700"/>
    </row>
    <row r="543" ht="18.75">
      <c r="A543" s="4" t="s">
        <v>138</v>
      </c>
    </row>
    <row r="544" spans="1:7" ht="18.75">
      <c r="A544" s="279" t="s">
        <v>0</v>
      </c>
      <c r="B544" s="280"/>
      <c r="C544" s="280"/>
      <c r="D544" s="280"/>
      <c r="E544" s="281" t="s">
        <v>139</v>
      </c>
      <c r="F544" s="281" t="s">
        <v>40</v>
      </c>
      <c r="G544" s="281" t="s">
        <v>1</v>
      </c>
    </row>
    <row r="545" spans="1:7" ht="18.75">
      <c r="A545" s="144" t="s">
        <v>9</v>
      </c>
      <c r="B545" s="277"/>
      <c r="C545" s="277"/>
      <c r="D545" s="277"/>
      <c r="E545" s="278">
        <v>541000</v>
      </c>
      <c r="F545" s="135">
        <v>3500</v>
      </c>
      <c r="G545" s="135"/>
    </row>
    <row r="546" spans="1:7" ht="18.75">
      <c r="A546" s="136"/>
      <c r="B546" s="124" t="s">
        <v>14</v>
      </c>
      <c r="E546" s="278">
        <v>210400</v>
      </c>
      <c r="F546" s="145"/>
      <c r="G546" s="125">
        <f>+F545</f>
        <v>3500</v>
      </c>
    </row>
    <row r="547" spans="1:7" ht="18.75">
      <c r="A547" s="138"/>
      <c r="B547" s="124"/>
      <c r="E547" s="146"/>
      <c r="F547" s="145"/>
      <c r="G547" s="125"/>
    </row>
    <row r="548" spans="1:7" ht="18.75">
      <c r="A548" s="138"/>
      <c r="B548" s="124"/>
      <c r="E548" s="145"/>
      <c r="F548" s="145"/>
      <c r="G548" s="125"/>
    </row>
    <row r="549" spans="1:7" ht="18.75">
      <c r="A549" s="138"/>
      <c r="B549" s="124"/>
      <c r="E549" s="145"/>
      <c r="F549" s="145"/>
      <c r="G549" s="125"/>
    </row>
    <row r="550" spans="1:7" ht="18.75">
      <c r="A550" s="123"/>
      <c r="B550" s="124"/>
      <c r="E550" s="145"/>
      <c r="F550" s="145"/>
      <c r="G550" s="125"/>
    </row>
    <row r="551" spans="1:7" ht="18.75">
      <c r="A551" s="123"/>
      <c r="B551" s="124"/>
      <c r="E551" s="145"/>
      <c r="F551" s="145"/>
      <c r="G551" s="125"/>
    </row>
    <row r="552" spans="1:7" ht="18.75">
      <c r="A552" s="123"/>
      <c r="B552" s="124"/>
      <c r="E552" s="145"/>
      <c r="F552" s="145"/>
      <c r="G552" s="125"/>
    </row>
    <row r="553" spans="1:7" ht="18.75">
      <c r="A553" s="123"/>
      <c r="B553" s="124"/>
      <c r="E553" s="145"/>
      <c r="F553" s="145"/>
      <c r="G553" s="125"/>
    </row>
    <row r="554" spans="1:7" ht="18.75">
      <c r="A554" s="123"/>
      <c r="B554" s="124"/>
      <c r="E554" s="145"/>
      <c r="F554" s="145"/>
      <c r="G554" s="125"/>
    </row>
    <row r="555" spans="1:7" ht="18.75">
      <c r="A555" s="123"/>
      <c r="B555" s="124"/>
      <c r="E555" s="145"/>
      <c r="F555" s="145"/>
      <c r="G555" s="125"/>
    </row>
    <row r="556" spans="1:7" ht="18.75">
      <c r="A556" s="123"/>
      <c r="B556" s="124"/>
      <c r="E556" s="145"/>
      <c r="F556" s="145"/>
      <c r="G556" s="125"/>
    </row>
    <row r="557" spans="1:7" ht="18.75">
      <c r="A557" s="123"/>
      <c r="B557" s="124"/>
      <c r="E557" s="145"/>
      <c r="F557" s="145"/>
      <c r="G557" s="125"/>
    </row>
    <row r="558" spans="1:7" ht="18.75">
      <c r="A558" s="123"/>
      <c r="B558" s="124"/>
      <c r="E558" s="145"/>
      <c r="F558" s="145"/>
      <c r="G558" s="125"/>
    </row>
    <row r="559" spans="1:7" ht="18.75">
      <c r="A559" s="123"/>
      <c r="B559" s="124"/>
      <c r="E559" s="145"/>
      <c r="F559" s="145"/>
      <c r="G559" s="125"/>
    </row>
    <row r="560" spans="1:7" ht="18.75">
      <c r="A560" s="123"/>
      <c r="B560" s="124"/>
      <c r="E560" s="145"/>
      <c r="F560" s="145"/>
      <c r="G560" s="125"/>
    </row>
    <row r="561" spans="1:7" ht="18.75">
      <c r="A561" s="127"/>
      <c r="B561" s="128"/>
      <c r="C561" s="128"/>
      <c r="D561" s="128"/>
      <c r="E561" s="127"/>
      <c r="F561" s="129"/>
      <c r="G561" s="129"/>
    </row>
    <row r="562" spans="6:7" ht="19.5" thickBot="1">
      <c r="F562" s="130">
        <f>SUM(F545:F561)</f>
        <v>3500</v>
      </c>
      <c r="G562" s="130">
        <f>SUM(G545:G561)</f>
        <v>3500</v>
      </c>
    </row>
    <row r="563" spans="6:7" ht="19.5" thickTop="1">
      <c r="F563" s="3"/>
      <c r="G563" s="3"/>
    </row>
    <row r="564" spans="1:7" ht="18.75">
      <c r="A564" s="4" t="s">
        <v>141</v>
      </c>
      <c r="B564" s="4" t="s">
        <v>509</v>
      </c>
      <c r="E564" s="173"/>
      <c r="F564" s="3"/>
      <c r="G564" s="131"/>
    </row>
    <row r="565" spans="2:7" ht="18.75">
      <c r="B565" s="4" t="s">
        <v>510</v>
      </c>
      <c r="E565" s="173"/>
      <c r="F565" s="3"/>
      <c r="G565" s="3"/>
    </row>
    <row r="566" spans="1:7" ht="18.75">
      <c r="A566" s="4"/>
      <c r="B566" s="4" t="s">
        <v>511</v>
      </c>
      <c r="F566" s="3"/>
      <c r="G566" s="3"/>
    </row>
    <row r="567" spans="1:7" ht="18.75">
      <c r="A567" s="693" t="s">
        <v>144</v>
      </c>
      <c r="B567" s="694"/>
      <c r="C567" s="695"/>
      <c r="D567" s="692" t="s">
        <v>143</v>
      </c>
      <c r="E567" s="692"/>
      <c r="F567" s="692" t="s">
        <v>142</v>
      </c>
      <c r="G567" s="692"/>
    </row>
    <row r="568" spans="1:7" ht="18.75">
      <c r="A568" s="123"/>
      <c r="B568" s="124"/>
      <c r="C568" s="126"/>
      <c r="D568" s="123"/>
      <c r="E568" s="126"/>
      <c r="F568" s="123"/>
      <c r="G568" s="126"/>
    </row>
    <row r="569" spans="1:7" ht="18.75">
      <c r="A569" s="696" t="s">
        <v>351</v>
      </c>
      <c r="B569" s="697"/>
      <c r="C569" s="698"/>
      <c r="D569" s="696" t="s">
        <v>33</v>
      </c>
      <c r="E569" s="698"/>
      <c r="F569" s="696" t="str">
        <f>+A569</f>
        <v>(นางสาววรรณา  ผลบุญ)</v>
      </c>
      <c r="G569" s="698"/>
    </row>
    <row r="570" spans="1:7" ht="18.75">
      <c r="A570" s="696" t="s">
        <v>352</v>
      </c>
      <c r="B570" s="697"/>
      <c r="C570" s="698"/>
      <c r="D570" s="696" t="s">
        <v>389</v>
      </c>
      <c r="E570" s="698"/>
      <c r="F570" s="696" t="str">
        <f>+A570</f>
        <v>เจ้าพนักงานการเงินและบัญชี</v>
      </c>
      <c r="G570" s="698"/>
    </row>
    <row r="571" spans="1:7" ht="18.75">
      <c r="A571" s="127"/>
      <c r="B571" s="128"/>
      <c r="C571" s="133"/>
      <c r="D571" s="687" t="s">
        <v>36</v>
      </c>
      <c r="E571" s="688"/>
      <c r="F571" s="127"/>
      <c r="G571" s="133"/>
    </row>
    <row r="572" ht="18.75">
      <c r="G572" s="118" t="s">
        <v>504</v>
      </c>
    </row>
    <row r="573" ht="18.75">
      <c r="G573" s="118" t="s">
        <v>479</v>
      </c>
    </row>
    <row r="574" spans="1:7" ht="18.75">
      <c r="A574" s="700" t="s">
        <v>153</v>
      </c>
      <c r="B574" s="700"/>
      <c r="C574" s="700"/>
      <c r="D574" s="700"/>
      <c r="E574" s="700"/>
      <c r="F574" s="700"/>
      <c r="G574" s="700"/>
    </row>
    <row r="575" ht="18.75">
      <c r="A575" s="4" t="s">
        <v>138</v>
      </c>
    </row>
    <row r="576" spans="1:7" ht="18.75">
      <c r="A576" s="279" t="s">
        <v>0</v>
      </c>
      <c r="B576" s="280"/>
      <c r="C576" s="280"/>
      <c r="D576" s="280"/>
      <c r="E576" s="281" t="s">
        <v>139</v>
      </c>
      <c r="F576" s="281" t="s">
        <v>40</v>
      </c>
      <c r="G576" s="281" t="s">
        <v>1</v>
      </c>
    </row>
    <row r="577" spans="1:7" ht="18.75">
      <c r="A577" s="144" t="s">
        <v>6</v>
      </c>
      <c r="B577" s="277"/>
      <c r="C577" s="277"/>
      <c r="D577" s="277"/>
      <c r="E577" s="278">
        <v>532000</v>
      </c>
      <c r="F577" s="135">
        <v>44980</v>
      </c>
      <c r="G577" s="135"/>
    </row>
    <row r="578" spans="1:7" ht="18.75">
      <c r="A578" s="136"/>
      <c r="B578" s="124" t="s">
        <v>14</v>
      </c>
      <c r="E578" s="278">
        <v>210400</v>
      </c>
      <c r="F578" s="145"/>
      <c r="G578" s="125">
        <f>+F577</f>
        <v>44980</v>
      </c>
    </row>
    <row r="579" spans="1:7" ht="18.75">
      <c r="A579" s="138"/>
      <c r="B579" s="124"/>
      <c r="E579" s="146"/>
      <c r="F579" s="145"/>
      <c r="G579" s="125"/>
    </row>
    <row r="580" spans="1:7" ht="18.75">
      <c r="A580" s="138"/>
      <c r="B580" s="124"/>
      <c r="E580" s="145"/>
      <c r="F580" s="145"/>
      <c r="G580" s="125"/>
    </row>
    <row r="581" spans="1:7" ht="18.75">
      <c r="A581" s="138"/>
      <c r="B581" s="124"/>
      <c r="E581" s="145"/>
      <c r="F581" s="145"/>
      <c r="G581" s="125"/>
    </row>
    <row r="582" spans="1:7" ht="18.75">
      <c r="A582" s="123"/>
      <c r="B582" s="124"/>
      <c r="E582" s="145"/>
      <c r="F582" s="145"/>
      <c r="G582" s="125"/>
    </row>
    <row r="583" spans="1:7" ht="18.75">
      <c r="A583" s="123"/>
      <c r="B583" s="124"/>
      <c r="E583" s="145"/>
      <c r="F583" s="145"/>
      <c r="G583" s="125"/>
    </row>
    <row r="584" spans="1:7" ht="18.75">
      <c r="A584" s="123"/>
      <c r="B584" s="124"/>
      <c r="E584" s="145"/>
      <c r="F584" s="145"/>
      <c r="G584" s="125"/>
    </row>
    <row r="585" spans="1:7" ht="18.75">
      <c r="A585" s="123"/>
      <c r="B585" s="124"/>
      <c r="E585" s="145"/>
      <c r="F585" s="145"/>
      <c r="G585" s="125"/>
    </row>
    <row r="586" spans="1:7" ht="18.75">
      <c r="A586" s="123"/>
      <c r="B586" s="124"/>
      <c r="E586" s="145"/>
      <c r="F586" s="145"/>
      <c r="G586" s="125"/>
    </row>
    <row r="587" spans="1:7" ht="18.75">
      <c r="A587" s="123"/>
      <c r="B587" s="124"/>
      <c r="E587" s="145"/>
      <c r="F587" s="145"/>
      <c r="G587" s="125"/>
    </row>
    <row r="588" spans="1:7" ht="18.75">
      <c r="A588" s="123"/>
      <c r="B588" s="124"/>
      <c r="E588" s="145"/>
      <c r="F588" s="145"/>
      <c r="G588" s="125"/>
    </row>
    <row r="589" spans="1:7" ht="18.75">
      <c r="A589" s="123"/>
      <c r="B589" s="124"/>
      <c r="E589" s="145"/>
      <c r="F589" s="145"/>
      <c r="G589" s="125"/>
    </row>
    <row r="590" spans="1:7" ht="18.75">
      <c r="A590" s="123"/>
      <c r="B590" s="124"/>
      <c r="E590" s="145"/>
      <c r="F590" s="145"/>
      <c r="G590" s="125"/>
    </row>
    <row r="591" spans="1:7" ht="18.75">
      <c r="A591" s="123"/>
      <c r="B591" s="124"/>
      <c r="E591" s="145"/>
      <c r="F591" s="145"/>
      <c r="G591" s="125"/>
    </row>
    <row r="592" spans="1:7" ht="18.75">
      <c r="A592" s="123"/>
      <c r="B592" s="124"/>
      <c r="E592" s="145"/>
      <c r="F592" s="145"/>
      <c r="G592" s="125"/>
    </row>
    <row r="593" spans="1:7" ht="18.75">
      <c r="A593" s="127"/>
      <c r="B593" s="128"/>
      <c r="C593" s="128"/>
      <c r="D593" s="128"/>
      <c r="E593" s="127"/>
      <c r="F593" s="129"/>
      <c r="G593" s="129"/>
    </row>
    <row r="594" spans="6:7" ht="19.5" thickBot="1">
      <c r="F594" s="130">
        <f>SUM(F577:F593)</f>
        <v>44980</v>
      </c>
      <c r="G594" s="130">
        <f>SUM(G577:G593)</f>
        <v>44980</v>
      </c>
    </row>
    <row r="595" spans="6:7" ht="19.5" thickTop="1">
      <c r="F595" s="3"/>
      <c r="G595" s="3"/>
    </row>
    <row r="596" spans="1:7" ht="18.75">
      <c r="A596" s="4" t="s">
        <v>141</v>
      </c>
      <c r="B596" s="4" t="s">
        <v>505</v>
      </c>
      <c r="E596" s="173"/>
      <c r="F596" s="3"/>
      <c r="G596" s="131"/>
    </row>
    <row r="597" spans="2:7" ht="18.75">
      <c r="B597" s="4" t="s">
        <v>506</v>
      </c>
      <c r="E597" s="173"/>
      <c r="F597" s="3"/>
      <c r="G597" s="3"/>
    </row>
    <row r="598" spans="1:7" ht="18.75">
      <c r="A598" s="4"/>
      <c r="B598" s="4" t="s">
        <v>507</v>
      </c>
      <c r="F598" s="3"/>
      <c r="G598" s="3"/>
    </row>
    <row r="599" spans="1:7" ht="18.75">
      <c r="A599" s="693" t="s">
        <v>144</v>
      </c>
      <c r="B599" s="694"/>
      <c r="C599" s="695"/>
      <c r="D599" s="692" t="s">
        <v>143</v>
      </c>
      <c r="E599" s="692"/>
      <c r="F599" s="692" t="s">
        <v>142</v>
      </c>
      <c r="G599" s="692"/>
    </row>
    <row r="600" spans="1:7" ht="18.75">
      <c r="A600" s="123"/>
      <c r="B600" s="124"/>
      <c r="C600" s="126"/>
      <c r="D600" s="123"/>
      <c r="E600" s="126"/>
      <c r="F600" s="123"/>
      <c r="G600" s="126"/>
    </row>
    <row r="601" spans="1:7" ht="18.75">
      <c r="A601" s="696" t="s">
        <v>351</v>
      </c>
      <c r="B601" s="697"/>
      <c r="C601" s="698"/>
      <c r="D601" s="696" t="s">
        <v>33</v>
      </c>
      <c r="E601" s="698"/>
      <c r="F601" s="696" t="str">
        <f>+A601</f>
        <v>(นางสาววรรณา  ผลบุญ)</v>
      </c>
      <c r="G601" s="698"/>
    </row>
    <row r="602" spans="1:7" ht="18.75">
      <c r="A602" s="696" t="s">
        <v>352</v>
      </c>
      <c r="B602" s="697"/>
      <c r="C602" s="698"/>
      <c r="D602" s="696" t="s">
        <v>389</v>
      </c>
      <c r="E602" s="698"/>
      <c r="F602" s="696" t="str">
        <f>+A602</f>
        <v>เจ้าพนักงานการเงินและบัญชี</v>
      </c>
      <c r="G602" s="698"/>
    </row>
    <row r="603" spans="1:7" ht="18.75">
      <c r="A603" s="127"/>
      <c r="B603" s="128"/>
      <c r="C603" s="133"/>
      <c r="D603" s="687" t="s">
        <v>36</v>
      </c>
      <c r="E603" s="688"/>
      <c r="F603" s="127"/>
      <c r="G603" s="133"/>
    </row>
    <row r="604" spans="5:7" ht="18.75">
      <c r="E604" s="173"/>
      <c r="F604" s="3"/>
      <c r="G604" s="118" t="s">
        <v>512</v>
      </c>
    </row>
    <row r="605" spans="5:7" ht="18.75">
      <c r="E605" s="173"/>
      <c r="F605" s="3"/>
      <c r="G605" s="118" t="s">
        <v>479</v>
      </c>
    </row>
    <row r="606" spans="1:7" ht="18.75">
      <c r="A606" s="700" t="s">
        <v>153</v>
      </c>
      <c r="B606" s="700"/>
      <c r="C606" s="700"/>
      <c r="D606" s="700"/>
      <c r="E606" s="700"/>
      <c r="F606" s="700"/>
      <c r="G606" s="700"/>
    </row>
    <row r="607" spans="1:6" ht="18.75">
      <c r="A607" s="4" t="s">
        <v>138</v>
      </c>
      <c r="E607" s="173"/>
      <c r="F607" s="3"/>
    </row>
    <row r="608" spans="1:10" ht="18.75">
      <c r="A608" s="288" t="s">
        <v>0</v>
      </c>
      <c r="B608" s="289"/>
      <c r="C608" s="289"/>
      <c r="D608" s="289"/>
      <c r="E608" s="290" t="s">
        <v>139</v>
      </c>
      <c r="F608" s="248" t="s">
        <v>40</v>
      </c>
      <c r="G608" s="290" t="s">
        <v>1</v>
      </c>
      <c r="J608" s="2">
        <f>7780-5000</f>
        <v>2780</v>
      </c>
    </row>
    <row r="609" spans="1:7" ht="18.75">
      <c r="A609" s="144" t="s">
        <v>513</v>
      </c>
      <c r="B609" s="284"/>
      <c r="C609" s="284"/>
      <c r="D609" s="284"/>
      <c r="E609" s="285">
        <v>510000</v>
      </c>
      <c r="F609" s="135">
        <v>450</v>
      </c>
      <c r="G609" s="135"/>
    </row>
    <row r="610" spans="1:7" ht="18.75">
      <c r="A610" s="136"/>
      <c r="B610" s="124" t="s">
        <v>514</v>
      </c>
      <c r="E610" s="285">
        <v>230111</v>
      </c>
      <c r="F610" s="125"/>
      <c r="G610" s="125">
        <f>+F609</f>
        <v>450</v>
      </c>
    </row>
    <row r="611" spans="1:7" ht="18.75">
      <c r="A611" s="138"/>
      <c r="B611" s="124"/>
      <c r="E611" s="146"/>
      <c r="F611" s="125"/>
      <c r="G611" s="125"/>
    </row>
    <row r="612" spans="1:7" ht="18.75">
      <c r="A612" s="138"/>
      <c r="B612" s="124"/>
      <c r="E612" s="146"/>
      <c r="F612" s="125"/>
      <c r="G612" s="125"/>
    </row>
    <row r="613" spans="1:7" ht="18.75">
      <c r="A613" s="138"/>
      <c r="B613" s="124"/>
      <c r="E613" s="146"/>
      <c r="F613" s="125"/>
      <c r="G613" s="125"/>
    </row>
    <row r="614" spans="1:7" ht="18.75">
      <c r="A614" s="123"/>
      <c r="B614" s="124"/>
      <c r="E614" s="146"/>
      <c r="F614" s="125"/>
      <c r="G614" s="125"/>
    </row>
    <row r="615" spans="1:7" ht="18.75">
      <c r="A615" s="123"/>
      <c r="B615" s="124"/>
      <c r="E615" s="146"/>
      <c r="F615" s="125"/>
      <c r="G615" s="125"/>
    </row>
    <row r="616" spans="1:7" ht="18.75">
      <c r="A616" s="123"/>
      <c r="B616" s="124"/>
      <c r="E616" s="146"/>
      <c r="F616" s="125"/>
      <c r="G616" s="125"/>
    </row>
    <row r="617" spans="1:7" ht="18.75">
      <c r="A617" s="123"/>
      <c r="B617" s="124"/>
      <c r="E617" s="146"/>
      <c r="F617" s="125"/>
      <c r="G617" s="125"/>
    </row>
    <row r="618" spans="1:7" ht="18.75">
      <c r="A618" s="123"/>
      <c r="B618" s="124"/>
      <c r="E618" s="146"/>
      <c r="F618" s="125"/>
      <c r="G618" s="125"/>
    </row>
    <row r="619" spans="1:7" ht="18.75">
      <c r="A619" s="123"/>
      <c r="B619" s="124"/>
      <c r="E619" s="146"/>
      <c r="F619" s="125"/>
      <c r="G619" s="125"/>
    </row>
    <row r="620" spans="1:7" ht="18.75">
      <c r="A620" s="123"/>
      <c r="B620" s="124"/>
      <c r="E620" s="146"/>
      <c r="F620" s="125"/>
      <c r="G620" s="125"/>
    </row>
    <row r="621" spans="1:7" ht="18.75">
      <c r="A621" s="123"/>
      <c r="B621" s="124"/>
      <c r="E621" s="146"/>
      <c r="F621" s="125"/>
      <c r="G621" s="125"/>
    </row>
    <row r="622" spans="1:7" ht="18.75">
      <c r="A622" s="123"/>
      <c r="B622" s="124"/>
      <c r="E622" s="146"/>
      <c r="F622" s="125"/>
      <c r="G622" s="125"/>
    </row>
    <row r="623" spans="1:7" ht="18.75">
      <c r="A623" s="123"/>
      <c r="B623" s="124"/>
      <c r="E623" s="146"/>
      <c r="F623" s="125"/>
      <c r="G623" s="125"/>
    </row>
    <row r="624" spans="1:7" ht="18.75">
      <c r="A624" s="123"/>
      <c r="B624" s="124"/>
      <c r="E624" s="146"/>
      <c r="F624" s="125"/>
      <c r="G624" s="125"/>
    </row>
    <row r="625" spans="1:7" ht="18.75">
      <c r="A625" s="123"/>
      <c r="B625" s="124"/>
      <c r="E625" s="146"/>
      <c r="F625" s="125"/>
      <c r="G625" s="125"/>
    </row>
    <row r="626" spans="1:7" ht="18.75">
      <c r="A626" s="127"/>
      <c r="B626" s="128"/>
      <c r="C626" s="128"/>
      <c r="D626" s="128"/>
      <c r="E626" s="282"/>
      <c r="F626" s="129"/>
      <c r="G626" s="129"/>
    </row>
    <row r="627" spans="5:7" ht="19.5" thickBot="1">
      <c r="E627" s="173"/>
      <c r="F627" s="130">
        <f>SUM(F609:F626)</f>
        <v>450</v>
      </c>
      <c r="G627" s="130">
        <f>SUM(G609:G626)</f>
        <v>450</v>
      </c>
    </row>
    <row r="628" spans="5:7" ht="19.5" thickTop="1">
      <c r="E628" s="173"/>
      <c r="F628" s="3"/>
      <c r="G628" s="3"/>
    </row>
    <row r="629" spans="1:7" ht="18.75">
      <c r="A629" s="4" t="s">
        <v>141</v>
      </c>
      <c r="B629" s="4" t="s">
        <v>515</v>
      </c>
      <c r="E629" s="173"/>
      <c r="F629" s="3"/>
      <c r="G629" s="131"/>
    </row>
    <row r="630" spans="2:7" ht="18.75">
      <c r="B630" s="4"/>
      <c r="E630" s="173"/>
      <c r="F630" s="3"/>
      <c r="G630" s="3"/>
    </row>
    <row r="631" spans="2:7" ht="18.75">
      <c r="B631" s="4"/>
      <c r="E631" s="173"/>
      <c r="F631" s="3"/>
      <c r="G631" s="3"/>
    </row>
    <row r="632" spans="1:7" ht="18.75">
      <c r="A632" s="693" t="s">
        <v>144</v>
      </c>
      <c r="B632" s="694"/>
      <c r="C632" s="695"/>
      <c r="D632" s="693" t="s">
        <v>143</v>
      </c>
      <c r="E632" s="695"/>
      <c r="F632" s="693" t="s">
        <v>142</v>
      </c>
      <c r="G632" s="695"/>
    </row>
    <row r="633" spans="1:7" ht="18.75">
      <c r="A633" s="123"/>
      <c r="B633" s="124"/>
      <c r="C633" s="126"/>
      <c r="D633" s="123"/>
      <c r="E633" s="286"/>
      <c r="F633" s="249"/>
      <c r="G633" s="126"/>
    </row>
    <row r="634" spans="1:7" ht="18.75">
      <c r="A634" s="696" t="s">
        <v>351</v>
      </c>
      <c r="B634" s="697"/>
      <c r="C634" s="698"/>
      <c r="D634" s="696" t="s">
        <v>33</v>
      </c>
      <c r="E634" s="698"/>
      <c r="F634" s="696" t="str">
        <f>+A634</f>
        <v>(นางสาววรรณา  ผลบุญ)</v>
      </c>
      <c r="G634" s="698"/>
    </row>
    <row r="635" spans="1:7" ht="18.75">
      <c r="A635" s="696" t="s">
        <v>352</v>
      </c>
      <c r="B635" s="697"/>
      <c r="C635" s="698"/>
      <c r="D635" s="696" t="s">
        <v>389</v>
      </c>
      <c r="E635" s="698"/>
      <c r="F635" s="696" t="str">
        <f>+A635</f>
        <v>เจ้าพนักงานการเงินและบัญชี</v>
      </c>
      <c r="G635" s="698"/>
    </row>
    <row r="636" spans="1:7" ht="18.75">
      <c r="A636" s="282"/>
      <c r="B636" s="287"/>
      <c r="C636" s="283"/>
      <c r="D636" s="687" t="s">
        <v>36</v>
      </c>
      <c r="E636" s="688"/>
      <c r="F636" s="250"/>
      <c r="G636" s="283"/>
    </row>
    <row r="637" spans="5:7" ht="18.75">
      <c r="E637" s="173"/>
      <c r="F637" s="3"/>
      <c r="G637" s="118" t="s">
        <v>517</v>
      </c>
    </row>
    <row r="638" spans="5:7" ht="18.75">
      <c r="E638" s="173"/>
      <c r="F638" s="3"/>
      <c r="G638" s="118" t="s">
        <v>479</v>
      </c>
    </row>
    <row r="639" spans="1:7" ht="18.75">
      <c r="A639" s="700" t="s">
        <v>153</v>
      </c>
      <c r="B639" s="700"/>
      <c r="C639" s="700"/>
      <c r="D639" s="700"/>
      <c r="E639" s="700"/>
      <c r="F639" s="700"/>
      <c r="G639" s="700"/>
    </row>
    <row r="640" spans="1:6" ht="18.75">
      <c r="A640" s="4" t="s">
        <v>138</v>
      </c>
      <c r="E640" s="173"/>
      <c r="F640" s="3"/>
    </row>
    <row r="641" spans="1:7" ht="18.75">
      <c r="A641" s="288" t="s">
        <v>0</v>
      </c>
      <c r="B641" s="289"/>
      <c r="C641" s="289"/>
      <c r="D641" s="289"/>
      <c r="E641" s="290" t="s">
        <v>139</v>
      </c>
      <c r="F641" s="248" t="s">
        <v>40</v>
      </c>
      <c r="G641" s="290" t="s">
        <v>1</v>
      </c>
    </row>
    <row r="642" spans="1:7" ht="18.75">
      <c r="A642" s="144" t="s">
        <v>60</v>
      </c>
      <c r="B642" s="294"/>
      <c r="C642" s="294"/>
      <c r="D642" s="294"/>
      <c r="E642" s="295">
        <v>110604</v>
      </c>
      <c r="F642" s="135">
        <v>26332.5</v>
      </c>
      <c r="G642" s="135"/>
    </row>
    <row r="643" spans="1:7" ht="18.75">
      <c r="A643" s="136"/>
      <c r="B643" s="124" t="s">
        <v>64</v>
      </c>
      <c r="E643" s="295">
        <v>414999</v>
      </c>
      <c r="F643" s="125"/>
      <c r="G643" s="125">
        <f>+F642</f>
        <v>26332.5</v>
      </c>
    </row>
    <row r="644" spans="1:7" ht="18.75">
      <c r="A644" s="138"/>
      <c r="B644" s="124"/>
      <c r="E644" s="146"/>
      <c r="F644" s="125"/>
      <c r="G644" s="125"/>
    </row>
    <row r="645" spans="1:7" ht="18.75">
      <c r="A645" s="138"/>
      <c r="B645" s="124"/>
      <c r="E645" s="146"/>
      <c r="F645" s="125"/>
      <c r="G645" s="125"/>
    </row>
    <row r="646" spans="1:7" ht="18.75">
      <c r="A646" s="138"/>
      <c r="B646" s="124"/>
      <c r="E646" s="146"/>
      <c r="F646" s="125"/>
      <c r="G646" s="125"/>
    </row>
    <row r="647" spans="1:7" ht="18.75">
      <c r="A647" s="123"/>
      <c r="B647" s="124"/>
      <c r="E647" s="146"/>
      <c r="F647" s="125"/>
      <c r="G647" s="125"/>
    </row>
    <row r="648" spans="1:7" ht="18.75">
      <c r="A648" s="123"/>
      <c r="B648" s="124"/>
      <c r="E648" s="146"/>
      <c r="F648" s="125"/>
      <c r="G648" s="125"/>
    </row>
    <row r="649" spans="1:7" ht="18.75">
      <c r="A649" s="123"/>
      <c r="B649" s="124"/>
      <c r="E649" s="146"/>
      <c r="F649" s="125"/>
      <c r="G649" s="125"/>
    </row>
    <row r="650" spans="1:7" ht="18.75">
      <c r="A650" s="123"/>
      <c r="B650" s="124"/>
      <c r="E650" s="146"/>
      <c r="F650" s="125"/>
      <c r="G650" s="125"/>
    </row>
    <row r="651" spans="1:7" ht="18.75">
      <c r="A651" s="123"/>
      <c r="B651" s="124"/>
      <c r="E651" s="146"/>
      <c r="F651" s="125"/>
      <c r="G651" s="125"/>
    </row>
    <row r="652" spans="1:7" ht="18.75">
      <c r="A652" s="123"/>
      <c r="B652" s="124"/>
      <c r="E652" s="146"/>
      <c r="F652" s="125"/>
      <c r="G652" s="125"/>
    </row>
    <row r="653" spans="1:7" ht="18.75">
      <c r="A653" s="123"/>
      <c r="B653" s="124"/>
      <c r="E653" s="146"/>
      <c r="F653" s="125"/>
      <c r="G653" s="125"/>
    </row>
    <row r="654" spans="1:7" ht="18.75">
      <c r="A654" s="123"/>
      <c r="B654" s="124"/>
      <c r="E654" s="146"/>
      <c r="F654" s="125"/>
      <c r="G654" s="125"/>
    </row>
    <row r="655" spans="1:7" ht="18.75">
      <c r="A655" s="123"/>
      <c r="B655" s="124"/>
      <c r="E655" s="146"/>
      <c r="F655" s="125"/>
      <c r="G655" s="125"/>
    </row>
    <row r="656" spans="1:7" ht="18.75">
      <c r="A656" s="123"/>
      <c r="B656" s="124"/>
      <c r="E656" s="146"/>
      <c r="F656" s="125"/>
      <c r="G656" s="125"/>
    </row>
    <row r="657" spans="1:7" ht="18.75">
      <c r="A657" s="123"/>
      <c r="B657" s="124"/>
      <c r="E657" s="146"/>
      <c r="F657" s="125"/>
      <c r="G657" s="125"/>
    </row>
    <row r="658" spans="1:7" ht="18.75">
      <c r="A658" s="123"/>
      <c r="B658" s="124"/>
      <c r="E658" s="146"/>
      <c r="F658" s="125"/>
      <c r="G658" s="125"/>
    </row>
    <row r="659" spans="1:7" ht="18.75">
      <c r="A659" s="127"/>
      <c r="B659" s="128"/>
      <c r="C659" s="128"/>
      <c r="D659" s="128"/>
      <c r="E659" s="292"/>
      <c r="F659" s="129"/>
      <c r="G659" s="129"/>
    </row>
    <row r="660" spans="5:7" ht="19.5" thickBot="1">
      <c r="E660" s="173"/>
      <c r="F660" s="130">
        <f>SUM(F642:F659)</f>
        <v>26332.5</v>
      </c>
      <c r="G660" s="130">
        <f>SUM(G642:G659)</f>
        <v>26332.5</v>
      </c>
    </row>
    <row r="661" spans="5:7" ht="19.5" thickTop="1">
      <c r="E661" s="173"/>
      <c r="F661" s="3"/>
      <c r="G661" s="3"/>
    </row>
    <row r="662" spans="1:7" ht="18.75">
      <c r="A662" s="4" t="s">
        <v>141</v>
      </c>
      <c r="B662" s="4" t="s">
        <v>518</v>
      </c>
      <c r="E662" s="173"/>
      <c r="F662" s="3"/>
      <c r="G662" s="131"/>
    </row>
    <row r="663" spans="2:7" ht="18.75">
      <c r="B663" s="4" t="s">
        <v>519</v>
      </c>
      <c r="E663" s="173"/>
      <c r="F663" s="3"/>
      <c r="G663" s="3"/>
    </row>
    <row r="664" spans="2:7" ht="18.75">
      <c r="B664" s="4"/>
      <c r="E664" s="173"/>
      <c r="F664" s="3"/>
      <c r="G664" s="3"/>
    </row>
    <row r="665" spans="1:7" ht="18.75">
      <c r="A665" s="693" t="s">
        <v>144</v>
      </c>
      <c r="B665" s="694"/>
      <c r="C665" s="695"/>
      <c r="D665" s="693" t="s">
        <v>143</v>
      </c>
      <c r="E665" s="695"/>
      <c r="F665" s="693" t="s">
        <v>142</v>
      </c>
      <c r="G665" s="695"/>
    </row>
    <row r="666" spans="1:7" ht="18.75">
      <c r="A666" s="123"/>
      <c r="B666" s="124"/>
      <c r="C666" s="126"/>
      <c r="D666" s="123"/>
      <c r="E666" s="286"/>
      <c r="F666" s="249"/>
      <c r="G666" s="126"/>
    </row>
    <row r="667" spans="1:7" ht="18.75">
      <c r="A667" s="696" t="s">
        <v>351</v>
      </c>
      <c r="B667" s="697"/>
      <c r="C667" s="698"/>
      <c r="D667" s="696" t="s">
        <v>33</v>
      </c>
      <c r="E667" s="698"/>
      <c r="F667" s="696" t="str">
        <f>+A667</f>
        <v>(นางสาววรรณา  ผลบุญ)</v>
      </c>
      <c r="G667" s="698"/>
    </row>
    <row r="668" spans="1:7" ht="18.75">
      <c r="A668" s="696" t="s">
        <v>352</v>
      </c>
      <c r="B668" s="697"/>
      <c r="C668" s="698"/>
      <c r="D668" s="696" t="s">
        <v>389</v>
      </c>
      <c r="E668" s="698"/>
      <c r="F668" s="696" t="str">
        <f>+A668</f>
        <v>เจ้าพนักงานการเงินและบัญชี</v>
      </c>
      <c r="G668" s="698"/>
    </row>
    <row r="669" spans="1:7" ht="18.75">
      <c r="A669" s="282"/>
      <c r="B669" s="287"/>
      <c r="C669" s="283"/>
      <c r="D669" s="687" t="s">
        <v>36</v>
      </c>
      <c r="E669" s="688"/>
      <c r="F669" s="250"/>
      <c r="G669" s="283"/>
    </row>
    <row r="670" spans="5:7" ht="18.75">
      <c r="E670" s="173"/>
      <c r="F670" s="3"/>
      <c r="G670" s="118" t="s">
        <v>520</v>
      </c>
    </row>
    <row r="671" spans="5:7" ht="18.75">
      <c r="E671" s="173"/>
      <c r="F671" s="3"/>
      <c r="G671" s="118" t="s">
        <v>479</v>
      </c>
    </row>
    <row r="672" spans="1:7" ht="18.75">
      <c r="A672" s="700" t="s">
        <v>153</v>
      </c>
      <c r="B672" s="700"/>
      <c r="C672" s="700"/>
      <c r="D672" s="700"/>
      <c r="E672" s="700"/>
      <c r="F672" s="700"/>
      <c r="G672" s="700"/>
    </row>
    <row r="673" spans="1:6" ht="18.75">
      <c r="A673" s="4" t="s">
        <v>138</v>
      </c>
      <c r="E673" s="173"/>
      <c r="F673" s="3"/>
    </row>
    <row r="674" spans="1:7" ht="18.75">
      <c r="A674" s="297" t="s">
        <v>0</v>
      </c>
      <c r="B674" s="298"/>
      <c r="C674" s="298"/>
      <c r="D674" s="298"/>
      <c r="E674" s="300" t="s">
        <v>139</v>
      </c>
      <c r="F674" s="248" t="s">
        <v>40</v>
      </c>
      <c r="G674" s="300" t="s">
        <v>1</v>
      </c>
    </row>
    <row r="675" spans="1:7" ht="18.75">
      <c r="A675" s="144" t="s">
        <v>57</v>
      </c>
      <c r="B675" s="294"/>
      <c r="C675" s="294"/>
      <c r="D675" s="294"/>
      <c r="E675" s="295">
        <v>110602</v>
      </c>
      <c r="F675" s="135">
        <v>2090.75</v>
      </c>
      <c r="G675" s="135"/>
    </row>
    <row r="676" spans="1:7" ht="18.75">
      <c r="A676" s="136"/>
      <c r="B676" s="124" t="s">
        <v>523</v>
      </c>
      <c r="E676" s="295">
        <v>414999</v>
      </c>
      <c r="F676" s="125"/>
      <c r="G676" s="125">
        <f>+F675</f>
        <v>2090.75</v>
      </c>
    </row>
    <row r="677" spans="1:7" ht="18.75">
      <c r="A677" s="138"/>
      <c r="B677" s="124"/>
      <c r="E677" s="146"/>
      <c r="F677" s="125"/>
      <c r="G677" s="125"/>
    </row>
    <row r="678" spans="1:7" ht="18.75">
      <c r="A678" s="138"/>
      <c r="B678" s="124"/>
      <c r="E678" s="146"/>
      <c r="F678" s="125"/>
      <c r="G678" s="125"/>
    </row>
    <row r="679" spans="1:7" ht="18.75">
      <c r="A679" s="138"/>
      <c r="B679" s="124"/>
      <c r="E679" s="146"/>
      <c r="F679" s="125"/>
      <c r="G679" s="125"/>
    </row>
    <row r="680" spans="1:7" ht="18.75">
      <c r="A680" s="123"/>
      <c r="B680" s="124"/>
      <c r="E680" s="146"/>
      <c r="F680" s="125"/>
      <c r="G680" s="125"/>
    </row>
    <row r="681" spans="1:7" ht="18.75">
      <c r="A681" s="123"/>
      <c r="B681" s="124"/>
      <c r="E681" s="146"/>
      <c r="F681" s="125"/>
      <c r="G681" s="125"/>
    </row>
    <row r="682" spans="1:7" ht="18.75">
      <c r="A682" s="123"/>
      <c r="B682" s="124"/>
      <c r="E682" s="146"/>
      <c r="F682" s="125"/>
      <c r="G682" s="125"/>
    </row>
    <row r="683" spans="1:7" ht="18.75">
      <c r="A683" s="123"/>
      <c r="B683" s="124"/>
      <c r="E683" s="146"/>
      <c r="F683" s="125"/>
      <c r="G683" s="125"/>
    </row>
    <row r="684" spans="1:7" ht="18.75">
      <c r="A684" s="123"/>
      <c r="B684" s="124"/>
      <c r="E684" s="146"/>
      <c r="F684" s="125"/>
      <c r="G684" s="125"/>
    </row>
    <row r="685" spans="1:7" ht="18.75">
      <c r="A685" s="123"/>
      <c r="B685" s="124"/>
      <c r="E685" s="146"/>
      <c r="F685" s="125"/>
      <c r="G685" s="125"/>
    </row>
    <row r="686" spans="1:7" ht="18.75">
      <c r="A686" s="123"/>
      <c r="B686" s="124"/>
      <c r="E686" s="146"/>
      <c r="F686" s="125"/>
      <c r="G686" s="125"/>
    </row>
    <row r="687" spans="1:7" ht="18.75">
      <c r="A687" s="123"/>
      <c r="B687" s="124"/>
      <c r="E687" s="146"/>
      <c r="F687" s="125"/>
      <c r="G687" s="125"/>
    </row>
    <row r="688" spans="1:7" ht="18.75">
      <c r="A688" s="123"/>
      <c r="B688" s="124"/>
      <c r="E688" s="146"/>
      <c r="F688" s="125"/>
      <c r="G688" s="125"/>
    </row>
    <row r="689" spans="1:7" ht="18.75">
      <c r="A689" s="123"/>
      <c r="B689" s="124"/>
      <c r="E689" s="146"/>
      <c r="F689" s="125"/>
      <c r="G689" s="125"/>
    </row>
    <row r="690" spans="1:7" ht="18.75">
      <c r="A690" s="123"/>
      <c r="B690" s="124"/>
      <c r="E690" s="146"/>
      <c r="F690" s="125"/>
      <c r="G690" s="125"/>
    </row>
    <row r="691" spans="1:7" ht="18.75">
      <c r="A691" s="123"/>
      <c r="B691" s="124"/>
      <c r="E691" s="146"/>
      <c r="F691" s="125"/>
      <c r="G691" s="125"/>
    </row>
    <row r="692" spans="1:7" ht="18.75">
      <c r="A692" s="127"/>
      <c r="B692" s="128"/>
      <c r="C692" s="128"/>
      <c r="D692" s="128"/>
      <c r="E692" s="292"/>
      <c r="F692" s="129"/>
      <c r="G692" s="129"/>
    </row>
    <row r="693" spans="5:7" ht="19.5" thickBot="1">
      <c r="E693" s="173"/>
      <c r="F693" s="130">
        <f>SUM(F675:F692)</f>
        <v>2090.75</v>
      </c>
      <c r="G693" s="130">
        <f>SUM(G675:G692)</f>
        <v>2090.75</v>
      </c>
    </row>
    <row r="694" spans="5:7" ht="19.5" thickTop="1">
      <c r="E694" s="173"/>
      <c r="F694" s="3"/>
      <c r="G694" s="3"/>
    </row>
    <row r="695" spans="1:7" ht="18.75">
      <c r="A695" s="4" t="s">
        <v>141</v>
      </c>
      <c r="B695" s="4" t="s">
        <v>521</v>
      </c>
      <c r="E695" s="173"/>
      <c r="F695" s="3"/>
      <c r="G695" s="131"/>
    </row>
    <row r="696" spans="2:7" ht="18.75">
      <c r="B696" s="4" t="s">
        <v>522</v>
      </c>
      <c r="E696" s="173"/>
      <c r="F696" s="3"/>
      <c r="G696" s="3"/>
    </row>
    <row r="697" spans="2:7" ht="18.75">
      <c r="B697" s="4"/>
      <c r="E697" s="173"/>
      <c r="F697" s="3"/>
      <c r="G697" s="3"/>
    </row>
    <row r="698" spans="1:7" ht="18.75">
      <c r="A698" s="693" t="s">
        <v>144</v>
      </c>
      <c r="B698" s="694"/>
      <c r="C698" s="695"/>
      <c r="D698" s="693" t="s">
        <v>143</v>
      </c>
      <c r="E698" s="695"/>
      <c r="F698" s="693" t="s">
        <v>142</v>
      </c>
      <c r="G698" s="695"/>
    </row>
    <row r="699" spans="1:7" ht="18.75">
      <c r="A699" s="123"/>
      <c r="B699" s="124"/>
      <c r="C699" s="126"/>
      <c r="D699" s="123"/>
      <c r="E699" s="296"/>
      <c r="F699" s="249"/>
      <c r="G699" s="126"/>
    </row>
    <row r="700" spans="1:7" ht="18.75">
      <c r="A700" s="696" t="s">
        <v>351</v>
      </c>
      <c r="B700" s="697"/>
      <c r="C700" s="698"/>
      <c r="D700" s="696" t="s">
        <v>33</v>
      </c>
      <c r="E700" s="698"/>
      <c r="F700" s="696" t="str">
        <f>+A700</f>
        <v>(นางสาววรรณา  ผลบุญ)</v>
      </c>
      <c r="G700" s="698"/>
    </row>
    <row r="701" spans="1:7" ht="18.75">
      <c r="A701" s="696" t="s">
        <v>352</v>
      </c>
      <c r="B701" s="697"/>
      <c r="C701" s="698"/>
      <c r="D701" s="696" t="s">
        <v>389</v>
      </c>
      <c r="E701" s="698"/>
      <c r="F701" s="696" t="str">
        <f>+A701</f>
        <v>เจ้าพนักงานการเงินและบัญชี</v>
      </c>
      <c r="G701" s="698"/>
    </row>
    <row r="702" spans="1:7" ht="18.75">
      <c r="A702" s="292"/>
      <c r="B702" s="299"/>
      <c r="C702" s="293"/>
      <c r="D702" s="687" t="s">
        <v>36</v>
      </c>
      <c r="E702" s="688"/>
      <c r="F702" s="250"/>
      <c r="G702" s="293"/>
    </row>
    <row r="703" spans="5:7" ht="18.75">
      <c r="E703" s="173"/>
      <c r="F703" s="3"/>
      <c r="G703" s="118" t="s">
        <v>524</v>
      </c>
    </row>
    <row r="704" spans="5:7" ht="18.75">
      <c r="E704" s="173"/>
      <c r="F704" s="3"/>
      <c r="G704" s="118" t="s">
        <v>479</v>
      </c>
    </row>
    <row r="705" spans="1:7" ht="18.75">
      <c r="A705" s="700" t="s">
        <v>153</v>
      </c>
      <c r="B705" s="700"/>
      <c r="C705" s="700"/>
      <c r="D705" s="700"/>
      <c r="E705" s="700"/>
      <c r="F705" s="700"/>
      <c r="G705" s="700"/>
    </row>
    <row r="706" spans="1:6" ht="18.75">
      <c r="A706" s="4" t="s">
        <v>138</v>
      </c>
      <c r="E706" s="173"/>
      <c r="F706" s="3"/>
    </row>
    <row r="707" spans="1:7" ht="18.75">
      <c r="A707" s="297" t="s">
        <v>0</v>
      </c>
      <c r="B707" s="298"/>
      <c r="C707" s="298"/>
      <c r="D707" s="298"/>
      <c r="E707" s="300" t="s">
        <v>139</v>
      </c>
      <c r="F707" s="248" t="s">
        <v>40</v>
      </c>
      <c r="G707" s="300" t="s">
        <v>1</v>
      </c>
    </row>
    <row r="708" spans="1:7" ht="18.75">
      <c r="A708" s="144" t="s">
        <v>60</v>
      </c>
      <c r="B708" s="294"/>
      <c r="C708" s="294"/>
      <c r="D708" s="294"/>
      <c r="E708" s="295">
        <v>110604</v>
      </c>
      <c r="F708" s="135">
        <v>127.31</v>
      </c>
      <c r="G708" s="135"/>
    </row>
    <row r="709" spans="1:7" ht="18.75">
      <c r="A709" s="136"/>
      <c r="B709" s="124" t="s">
        <v>57</v>
      </c>
      <c r="E709" s="295">
        <v>110602</v>
      </c>
      <c r="F709" s="125"/>
      <c r="G709" s="125">
        <f>+F708</f>
        <v>127.31</v>
      </c>
    </row>
    <row r="710" spans="1:7" ht="18.75">
      <c r="A710" s="138"/>
      <c r="B710" s="124"/>
      <c r="E710" s="146"/>
      <c r="F710" s="125"/>
      <c r="G710" s="125"/>
    </row>
    <row r="711" spans="1:7" ht="18.75">
      <c r="A711" s="138"/>
      <c r="B711" s="124"/>
      <c r="E711" s="146"/>
      <c r="F711" s="125"/>
      <c r="G711" s="125"/>
    </row>
    <row r="712" spans="1:7" ht="18.75">
      <c r="A712" s="138"/>
      <c r="B712" s="124"/>
      <c r="E712" s="146"/>
      <c r="F712" s="125"/>
      <c r="G712" s="125"/>
    </row>
    <row r="713" spans="1:7" ht="18.75">
      <c r="A713" s="123"/>
      <c r="B713" s="124"/>
      <c r="E713" s="146"/>
      <c r="F713" s="125"/>
      <c r="G713" s="125"/>
    </row>
    <row r="714" spans="1:7" ht="18.75">
      <c r="A714" s="123"/>
      <c r="B714" s="124"/>
      <c r="E714" s="146"/>
      <c r="F714" s="125"/>
      <c r="G714" s="125"/>
    </row>
    <row r="715" spans="1:7" ht="18.75">
      <c r="A715" s="123"/>
      <c r="B715" s="124"/>
      <c r="E715" s="146"/>
      <c r="F715" s="125"/>
      <c r="G715" s="125"/>
    </row>
    <row r="716" spans="1:7" ht="18.75">
      <c r="A716" s="123"/>
      <c r="B716" s="124"/>
      <c r="E716" s="146"/>
      <c r="F716" s="125"/>
      <c r="G716" s="125"/>
    </row>
    <row r="717" spans="1:7" ht="18.75">
      <c r="A717" s="123"/>
      <c r="B717" s="124"/>
      <c r="E717" s="146"/>
      <c r="F717" s="125"/>
      <c r="G717" s="125"/>
    </row>
    <row r="718" spans="1:7" ht="18.75">
      <c r="A718" s="123"/>
      <c r="B718" s="124"/>
      <c r="E718" s="146"/>
      <c r="F718" s="125"/>
      <c r="G718" s="125"/>
    </row>
    <row r="719" spans="1:7" ht="18.75">
      <c r="A719" s="123"/>
      <c r="B719" s="124"/>
      <c r="E719" s="146"/>
      <c r="F719" s="125"/>
      <c r="G719" s="125"/>
    </row>
    <row r="720" spans="1:7" ht="18.75">
      <c r="A720" s="123"/>
      <c r="B720" s="124"/>
      <c r="E720" s="146"/>
      <c r="F720" s="125"/>
      <c r="G720" s="125"/>
    </row>
    <row r="721" spans="1:7" ht="18.75">
      <c r="A721" s="123"/>
      <c r="B721" s="124"/>
      <c r="E721" s="146"/>
      <c r="F721" s="125"/>
      <c r="G721" s="125"/>
    </row>
    <row r="722" spans="1:7" ht="18.75">
      <c r="A722" s="123"/>
      <c r="B722" s="124"/>
      <c r="E722" s="146"/>
      <c r="F722" s="125"/>
      <c r="G722" s="125"/>
    </row>
    <row r="723" spans="1:7" ht="18.75">
      <c r="A723" s="123"/>
      <c r="B723" s="124"/>
      <c r="E723" s="146"/>
      <c r="F723" s="125"/>
      <c r="G723" s="125"/>
    </row>
    <row r="724" spans="1:7" ht="18.75">
      <c r="A724" s="123"/>
      <c r="B724" s="124"/>
      <c r="E724" s="146"/>
      <c r="F724" s="125"/>
      <c r="G724" s="125"/>
    </row>
    <row r="725" spans="1:7" ht="18.75">
      <c r="A725" s="127"/>
      <c r="B725" s="128"/>
      <c r="C725" s="128"/>
      <c r="D725" s="128"/>
      <c r="E725" s="292"/>
      <c r="F725" s="129"/>
      <c r="G725" s="129"/>
    </row>
    <row r="726" spans="5:7" ht="19.5" thickBot="1">
      <c r="E726" s="173"/>
      <c r="F726" s="130">
        <f>SUM(F708:F725)</f>
        <v>127.31</v>
      </c>
      <c r="G726" s="130">
        <f>SUM(G708:G725)</f>
        <v>127.31</v>
      </c>
    </row>
    <row r="727" spans="5:7" ht="19.5" thickTop="1">
      <c r="E727" s="173"/>
      <c r="F727" s="3"/>
      <c r="G727" s="3"/>
    </row>
    <row r="728" spans="1:7" ht="18.75">
      <c r="A728" s="4" t="s">
        <v>141</v>
      </c>
      <c r="B728" s="4" t="s">
        <v>525</v>
      </c>
      <c r="E728" s="173"/>
      <c r="F728" s="3"/>
      <c r="G728" s="131"/>
    </row>
    <row r="729" spans="2:7" ht="18.75">
      <c r="B729" s="4" t="s">
        <v>526</v>
      </c>
      <c r="E729" s="173"/>
      <c r="F729" s="3"/>
      <c r="G729" s="3"/>
    </row>
    <row r="730" spans="2:7" ht="18.75">
      <c r="B730" s="4" t="s">
        <v>527</v>
      </c>
      <c r="E730" s="173"/>
      <c r="F730" s="3"/>
      <c r="G730" s="3"/>
    </row>
    <row r="731" spans="1:7" ht="18.75">
      <c r="A731" s="693" t="s">
        <v>144</v>
      </c>
      <c r="B731" s="694"/>
      <c r="C731" s="695"/>
      <c r="D731" s="693" t="s">
        <v>143</v>
      </c>
      <c r="E731" s="695"/>
      <c r="F731" s="693" t="s">
        <v>142</v>
      </c>
      <c r="G731" s="695"/>
    </row>
    <row r="732" spans="1:7" ht="18.75">
      <c r="A732" s="123"/>
      <c r="B732" s="124"/>
      <c r="C732" s="126"/>
      <c r="D732" s="123"/>
      <c r="E732" s="296"/>
      <c r="F732" s="249"/>
      <c r="G732" s="126"/>
    </row>
    <row r="733" spans="1:7" ht="18.75">
      <c r="A733" s="696" t="s">
        <v>351</v>
      </c>
      <c r="B733" s="697"/>
      <c r="C733" s="698"/>
      <c r="D733" s="696" t="s">
        <v>33</v>
      </c>
      <c r="E733" s="698"/>
      <c r="F733" s="696" t="str">
        <f>+A733</f>
        <v>(นางสาววรรณา  ผลบุญ)</v>
      </c>
      <c r="G733" s="698"/>
    </row>
    <row r="734" spans="1:7" ht="18.75">
      <c r="A734" s="696" t="s">
        <v>352</v>
      </c>
      <c r="B734" s="697"/>
      <c r="C734" s="698"/>
      <c r="D734" s="696" t="s">
        <v>389</v>
      </c>
      <c r="E734" s="698"/>
      <c r="F734" s="696" t="str">
        <f>+A734</f>
        <v>เจ้าพนักงานการเงินและบัญชี</v>
      </c>
      <c r="G734" s="698"/>
    </row>
    <row r="735" spans="1:7" ht="18.75">
      <c r="A735" s="292"/>
      <c r="B735" s="299"/>
      <c r="C735" s="293"/>
      <c r="D735" s="687" t="s">
        <v>36</v>
      </c>
      <c r="E735" s="688"/>
      <c r="F735" s="250"/>
      <c r="G735" s="293"/>
    </row>
    <row r="736" spans="5:7" ht="18.75">
      <c r="E736" s="173"/>
      <c r="F736" s="3"/>
      <c r="G736" s="118" t="s">
        <v>561</v>
      </c>
    </row>
    <row r="737" spans="5:7" ht="18.75">
      <c r="E737" s="173"/>
      <c r="F737" s="3"/>
      <c r="G737" s="118" t="s">
        <v>479</v>
      </c>
    </row>
    <row r="738" spans="1:7" ht="18.75">
      <c r="A738" s="700" t="s">
        <v>153</v>
      </c>
      <c r="B738" s="700"/>
      <c r="C738" s="700"/>
      <c r="D738" s="700"/>
      <c r="E738" s="700"/>
      <c r="F738" s="700"/>
      <c r="G738" s="700"/>
    </row>
    <row r="739" spans="1:6" ht="18.75">
      <c r="A739" s="4" t="s">
        <v>138</v>
      </c>
      <c r="E739" s="173"/>
      <c r="F739" s="3"/>
    </row>
    <row r="740" spans="1:7" ht="18.75">
      <c r="A740" s="310" t="s">
        <v>0</v>
      </c>
      <c r="B740" s="311"/>
      <c r="C740" s="311"/>
      <c r="D740" s="311"/>
      <c r="E740" s="318" t="s">
        <v>139</v>
      </c>
      <c r="F740" s="248" t="s">
        <v>40</v>
      </c>
      <c r="G740" s="318" t="s">
        <v>1</v>
      </c>
    </row>
    <row r="741" spans="1:7" ht="18.75">
      <c r="A741" s="144" t="s">
        <v>41</v>
      </c>
      <c r="B741" s="307"/>
      <c r="C741" s="307"/>
      <c r="D741" s="307"/>
      <c r="E741" s="308">
        <v>400000</v>
      </c>
      <c r="F741" s="135">
        <v>18318.06</v>
      </c>
      <c r="G741" s="135"/>
    </row>
    <row r="742" spans="1:7" ht="18.75">
      <c r="A742" s="136" t="s">
        <v>42</v>
      </c>
      <c r="B742" s="312"/>
      <c r="C742" s="312"/>
      <c r="D742" s="312"/>
      <c r="E742" s="308">
        <v>411001</v>
      </c>
      <c r="F742" s="137">
        <v>166818.36</v>
      </c>
      <c r="G742" s="137"/>
    </row>
    <row r="743" spans="1:7" ht="18.75">
      <c r="A743" s="136" t="s">
        <v>43</v>
      </c>
      <c r="B743" s="312"/>
      <c r="C743" s="312"/>
      <c r="D743" s="312"/>
      <c r="E743" s="308">
        <v>411003</v>
      </c>
      <c r="F743" s="137">
        <v>8902.84</v>
      </c>
      <c r="G743" s="137"/>
    </row>
    <row r="744" spans="1:7" ht="18.75">
      <c r="A744" s="136" t="s">
        <v>372</v>
      </c>
      <c r="B744" s="312"/>
      <c r="C744" s="312"/>
      <c r="D744" s="312"/>
      <c r="E744" s="308">
        <v>412103</v>
      </c>
      <c r="F744" s="137">
        <v>19.4</v>
      </c>
      <c r="G744" s="137"/>
    </row>
    <row r="745" spans="1:7" ht="18.75">
      <c r="A745" s="702" t="s">
        <v>373</v>
      </c>
      <c r="B745" s="703"/>
      <c r="C745" s="703"/>
      <c r="D745" s="704"/>
      <c r="E745" s="308">
        <v>412109</v>
      </c>
      <c r="F745" s="137">
        <v>400</v>
      </c>
      <c r="G745" s="137"/>
    </row>
    <row r="746" spans="1:7" ht="18.75">
      <c r="A746" s="136" t="s">
        <v>99</v>
      </c>
      <c r="B746" s="312"/>
      <c r="C746" s="312"/>
      <c r="D746" s="312"/>
      <c r="E746" s="308">
        <v>412112</v>
      </c>
      <c r="F746" s="137">
        <v>3770</v>
      </c>
      <c r="G746" s="137"/>
    </row>
    <row r="747" spans="1:7" ht="18.75">
      <c r="A747" s="705" t="s">
        <v>374</v>
      </c>
      <c r="B747" s="706"/>
      <c r="C747" s="706"/>
      <c r="D747" s="707"/>
      <c r="E747" s="308">
        <v>412199</v>
      </c>
      <c r="F747" s="137">
        <v>880</v>
      </c>
      <c r="G747" s="137"/>
    </row>
    <row r="748" spans="1:7" ht="18.75">
      <c r="A748" s="705" t="s">
        <v>375</v>
      </c>
      <c r="B748" s="706"/>
      <c r="C748" s="706"/>
      <c r="D748" s="707"/>
      <c r="E748" s="308">
        <v>412202</v>
      </c>
      <c r="F748" s="137">
        <v>400</v>
      </c>
      <c r="G748" s="137"/>
    </row>
    <row r="749" spans="1:7" ht="18.75">
      <c r="A749" s="705" t="s">
        <v>25</v>
      </c>
      <c r="B749" s="706"/>
      <c r="C749" s="706"/>
      <c r="D749" s="707"/>
      <c r="E749" s="308">
        <v>412210</v>
      </c>
      <c r="F749" s="137">
        <v>12665</v>
      </c>
      <c r="G749" s="137"/>
    </row>
    <row r="750" spans="1:7" ht="18.75">
      <c r="A750" s="705" t="s">
        <v>376</v>
      </c>
      <c r="B750" s="706"/>
      <c r="C750" s="706"/>
      <c r="D750" s="707"/>
      <c r="E750" s="308">
        <v>412303</v>
      </c>
      <c r="F750" s="137">
        <v>15400</v>
      </c>
      <c r="G750" s="137"/>
    </row>
    <row r="751" spans="1:7" ht="18.75">
      <c r="A751" s="314" t="s">
        <v>100</v>
      </c>
      <c r="B751" s="315"/>
      <c r="C751" s="315"/>
      <c r="D751" s="316"/>
      <c r="E751" s="308">
        <v>412304</v>
      </c>
      <c r="F751" s="137">
        <v>150</v>
      </c>
      <c r="G751" s="137"/>
    </row>
    <row r="752" spans="1:7" ht="18.75">
      <c r="A752" s="705" t="s">
        <v>378</v>
      </c>
      <c r="B752" s="706"/>
      <c r="C752" s="706"/>
      <c r="D752" s="707"/>
      <c r="E752" s="308">
        <v>412306</v>
      </c>
      <c r="F752" s="137">
        <v>3200</v>
      </c>
      <c r="G752" s="137"/>
    </row>
    <row r="753" spans="1:7" ht="18.75" hidden="1">
      <c r="A753" s="705" t="s">
        <v>377</v>
      </c>
      <c r="B753" s="706"/>
      <c r="C753" s="706"/>
      <c r="D753" s="707"/>
      <c r="E753" s="308">
        <v>412308</v>
      </c>
      <c r="F753" s="137">
        <v>0</v>
      </c>
      <c r="G753" s="137"/>
    </row>
    <row r="754" spans="1:7" ht="18.75" hidden="1">
      <c r="A754" s="705" t="s">
        <v>379</v>
      </c>
      <c r="B754" s="706"/>
      <c r="C754" s="706"/>
      <c r="D754" s="707"/>
      <c r="E754" s="308">
        <v>413002</v>
      </c>
      <c r="F754" s="137">
        <v>0</v>
      </c>
      <c r="G754" s="137"/>
    </row>
    <row r="755" spans="1:7" ht="18.75">
      <c r="A755" s="705" t="s">
        <v>63</v>
      </c>
      <c r="B755" s="706"/>
      <c r="C755" s="706"/>
      <c r="D755" s="707"/>
      <c r="E755" s="308">
        <v>413003</v>
      </c>
      <c r="F755" s="137">
        <v>406763.39</v>
      </c>
      <c r="G755" s="137"/>
    </row>
    <row r="756" spans="1:7" ht="18.75">
      <c r="A756" s="705" t="s">
        <v>103</v>
      </c>
      <c r="B756" s="706"/>
      <c r="C756" s="706"/>
      <c r="D756" s="707"/>
      <c r="E756" s="308">
        <v>413303</v>
      </c>
      <c r="F756" s="137">
        <v>12200.26</v>
      </c>
      <c r="G756" s="137"/>
    </row>
    <row r="757" spans="1:7" ht="18.75">
      <c r="A757" s="705" t="s">
        <v>380</v>
      </c>
      <c r="B757" s="706"/>
      <c r="C757" s="706"/>
      <c r="D757" s="707"/>
      <c r="E757" s="308">
        <v>414006</v>
      </c>
      <c r="F757" s="137">
        <v>289432.5</v>
      </c>
      <c r="G757" s="137"/>
    </row>
    <row r="758" spans="1:7" ht="18.75">
      <c r="A758" s="705" t="s">
        <v>65</v>
      </c>
      <c r="B758" s="706"/>
      <c r="C758" s="706"/>
      <c r="D758" s="707"/>
      <c r="E758" s="308">
        <v>415004</v>
      </c>
      <c r="F758" s="137">
        <v>38500</v>
      </c>
      <c r="G758" s="137"/>
    </row>
    <row r="759" spans="1:7" ht="18.75">
      <c r="A759" s="705" t="s">
        <v>381</v>
      </c>
      <c r="B759" s="706"/>
      <c r="C759" s="706"/>
      <c r="D759" s="707"/>
      <c r="E759" s="308">
        <v>415999</v>
      </c>
      <c r="F759" s="137">
        <v>94189</v>
      </c>
      <c r="G759" s="137"/>
    </row>
    <row r="760" spans="1:7" ht="18.75">
      <c r="A760" s="314" t="s">
        <v>540</v>
      </c>
      <c r="B760" s="315"/>
      <c r="C760" s="315"/>
      <c r="D760" s="316"/>
      <c r="E760" s="308">
        <v>421002</v>
      </c>
      <c r="F760" s="137">
        <v>7471963.6</v>
      </c>
      <c r="G760" s="137"/>
    </row>
    <row r="761" spans="1:7" ht="18.75">
      <c r="A761" s="314" t="s">
        <v>67</v>
      </c>
      <c r="B761" s="315"/>
      <c r="C761" s="315"/>
      <c r="D761" s="316"/>
      <c r="E761" s="308">
        <v>421004</v>
      </c>
      <c r="F761" s="137">
        <v>3142359.57</v>
      </c>
      <c r="G761" s="137"/>
    </row>
    <row r="762" spans="1:7" ht="18.75">
      <c r="A762" s="314" t="s">
        <v>46</v>
      </c>
      <c r="B762" s="315"/>
      <c r="C762" s="315"/>
      <c r="D762" s="316"/>
      <c r="E762" s="308">
        <v>421005</v>
      </c>
      <c r="F762" s="137">
        <v>131980.31</v>
      </c>
      <c r="G762" s="137"/>
    </row>
    <row r="763" spans="1:7" ht="18.75">
      <c r="A763" s="314" t="s">
        <v>44</v>
      </c>
      <c r="B763" s="315"/>
      <c r="C763" s="315"/>
      <c r="D763" s="316"/>
      <c r="E763" s="308">
        <v>421006</v>
      </c>
      <c r="F763" s="137">
        <v>1375244.25</v>
      </c>
      <c r="G763" s="137"/>
    </row>
    <row r="764" spans="1:7" ht="18.75">
      <c r="A764" s="705" t="s">
        <v>45</v>
      </c>
      <c r="B764" s="706"/>
      <c r="C764" s="706"/>
      <c r="D764" s="707"/>
      <c r="E764" s="308">
        <v>421007</v>
      </c>
      <c r="F764" s="137">
        <v>3006755.45</v>
      </c>
      <c r="G764" s="137"/>
    </row>
    <row r="765" spans="1:7" ht="18.75">
      <c r="A765" s="705" t="s">
        <v>47</v>
      </c>
      <c r="B765" s="706"/>
      <c r="C765" s="706"/>
      <c r="D765" s="707"/>
      <c r="E765" s="308">
        <v>421012</v>
      </c>
      <c r="F765" s="137">
        <v>28798.41</v>
      </c>
      <c r="G765" s="137"/>
    </row>
    <row r="766" spans="1:7" ht="18.75">
      <c r="A766" s="314" t="s">
        <v>48</v>
      </c>
      <c r="B766" s="315"/>
      <c r="C766" s="315"/>
      <c r="D766" s="315"/>
      <c r="E766" s="308">
        <v>421013</v>
      </c>
      <c r="F766" s="137">
        <v>191543.8</v>
      </c>
      <c r="G766" s="137"/>
    </row>
    <row r="767" spans="1:7" ht="18.75">
      <c r="A767" s="314" t="s">
        <v>382</v>
      </c>
      <c r="B767" s="315"/>
      <c r="C767" s="315"/>
      <c r="D767" s="315"/>
      <c r="E767" s="308">
        <v>421015</v>
      </c>
      <c r="F767" s="137">
        <v>618295</v>
      </c>
      <c r="G767" s="137"/>
    </row>
    <row r="768" spans="1:7" ht="18.75">
      <c r="A768" s="314" t="s">
        <v>22</v>
      </c>
      <c r="B768" s="315"/>
      <c r="C768" s="315"/>
      <c r="D768" s="315"/>
      <c r="E768" s="308">
        <v>431000</v>
      </c>
      <c r="F768" s="137">
        <v>15565538.09</v>
      </c>
      <c r="G768" s="137"/>
    </row>
    <row r="769" spans="1:8" ht="18.75">
      <c r="A769" s="328" t="s">
        <v>124</v>
      </c>
      <c r="B769" s="329"/>
      <c r="C769" s="329"/>
      <c r="D769" s="329"/>
      <c r="E769" s="323">
        <v>441000</v>
      </c>
      <c r="F769" s="137">
        <f>11712263.02+21800</f>
        <v>11734063.02</v>
      </c>
      <c r="G769" s="137"/>
      <c r="H769" s="113">
        <f>SUM(F741:F770)</f>
        <v>44338550.31</v>
      </c>
    </row>
    <row r="770" spans="1:8" ht="18.75" hidden="1">
      <c r="A770" s="136" t="s">
        <v>313</v>
      </c>
      <c r="B770" s="312"/>
      <c r="C770" s="312"/>
      <c r="D770" s="312"/>
      <c r="E770" s="308"/>
      <c r="F770" s="137">
        <v>0</v>
      </c>
      <c r="G770" s="137"/>
      <c r="H770" s="113">
        <f>+H769-44338550.31</f>
        <v>0</v>
      </c>
    </row>
    <row r="771" spans="1:7" ht="18.75">
      <c r="A771" s="708" t="s">
        <v>166</v>
      </c>
      <c r="B771" s="709"/>
      <c r="C771" s="709"/>
      <c r="D771" s="710"/>
      <c r="E771" s="305"/>
      <c r="F771" s="174">
        <f>SUM(F741:F770)</f>
        <v>44338550.31</v>
      </c>
      <c r="G771" s="174">
        <f>SUM(G741:G770)</f>
        <v>0</v>
      </c>
    </row>
    <row r="772" spans="1:7" ht="18.75">
      <c r="A772" s="175" t="s">
        <v>159</v>
      </c>
      <c r="B772" s="317"/>
      <c r="C772" s="317"/>
      <c r="D772" s="317"/>
      <c r="E772" s="175"/>
      <c r="F772" s="135">
        <f>+F771</f>
        <v>44338550.31</v>
      </c>
      <c r="G772" s="135">
        <f>+G771</f>
        <v>0</v>
      </c>
    </row>
    <row r="773" spans="1:7" ht="18.75">
      <c r="A773" s="136"/>
      <c r="B773" s="315" t="s">
        <v>15</v>
      </c>
      <c r="C773" s="312"/>
      <c r="D773" s="312"/>
      <c r="E773" s="308">
        <v>300000</v>
      </c>
      <c r="F773" s="137"/>
      <c r="G773" s="137">
        <f>+H769-H793</f>
        <v>7073822.090000004</v>
      </c>
    </row>
    <row r="774" spans="1:7" ht="18.75">
      <c r="A774" s="136"/>
      <c r="B774" s="124" t="s">
        <v>11</v>
      </c>
      <c r="E774" s="308">
        <v>500000</v>
      </c>
      <c r="F774" s="125"/>
      <c r="G774" s="125">
        <v>1052868</v>
      </c>
    </row>
    <row r="775" spans="1:7" ht="18.75">
      <c r="A775" s="136"/>
      <c r="B775" s="124" t="s">
        <v>450</v>
      </c>
      <c r="E775" s="308">
        <v>500000</v>
      </c>
      <c r="F775" s="125"/>
      <c r="G775" s="125">
        <v>10210200</v>
      </c>
    </row>
    <row r="776" spans="1:7" ht="18.75">
      <c r="A776" s="138"/>
      <c r="B776" s="124" t="s">
        <v>162</v>
      </c>
      <c r="E776" s="146">
        <v>521000</v>
      </c>
      <c r="F776" s="125"/>
      <c r="G776" s="125">
        <v>2250548</v>
      </c>
    </row>
    <row r="777" spans="1:7" ht="18.75">
      <c r="A777" s="138"/>
      <c r="B777" s="124" t="s">
        <v>163</v>
      </c>
      <c r="E777" s="146">
        <v>522000</v>
      </c>
      <c r="F777" s="125"/>
      <c r="G777" s="125">
        <v>2713528.31</v>
      </c>
    </row>
    <row r="778" spans="1:7" ht="18.75">
      <c r="A778" s="138"/>
      <c r="B778" s="124" t="s">
        <v>542</v>
      </c>
      <c r="E778" s="146">
        <v>522000</v>
      </c>
      <c r="F778" s="125"/>
      <c r="G778" s="125">
        <v>600000</v>
      </c>
    </row>
    <row r="779" spans="1:7" ht="18.75">
      <c r="A779" s="138"/>
      <c r="B779" s="124" t="s">
        <v>3</v>
      </c>
      <c r="E779" s="146">
        <v>220400</v>
      </c>
      <c r="F779" s="125"/>
      <c r="G779" s="125">
        <v>313695</v>
      </c>
    </row>
    <row r="780" spans="1:7" ht="18.75">
      <c r="A780" s="123"/>
      <c r="B780" s="124" t="s">
        <v>4</v>
      </c>
      <c r="D780" s="173"/>
      <c r="E780" s="146">
        <v>220600</v>
      </c>
      <c r="F780" s="125"/>
      <c r="G780" s="125">
        <v>1851857.14</v>
      </c>
    </row>
    <row r="781" spans="1:7" ht="18.75">
      <c r="A781" s="123"/>
      <c r="B781" s="124" t="s">
        <v>449</v>
      </c>
      <c r="D781" s="173"/>
      <c r="E781" s="146">
        <v>220600</v>
      </c>
      <c r="F781" s="125"/>
      <c r="G781" s="125">
        <v>450000</v>
      </c>
    </row>
    <row r="782" spans="1:7" ht="18.75">
      <c r="A782" s="123"/>
      <c r="B782" s="124" t="s">
        <v>5</v>
      </c>
      <c r="E782" s="146">
        <v>531000</v>
      </c>
      <c r="F782" s="125"/>
      <c r="G782" s="125">
        <v>648183.5</v>
      </c>
    </row>
    <row r="783" spans="1:7" ht="18.75">
      <c r="A783" s="123"/>
      <c r="B783" s="124" t="s">
        <v>463</v>
      </c>
      <c r="E783" s="146">
        <v>531000</v>
      </c>
      <c r="F783" s="125"/>
      <c r="G783" s="125">
        <v>9298</v>
      </c>
    </row>
    <row r="784" spans="1:7" ht="18.75">
      <c r="A784" s="123"/>
      <c r="B784" s="124" t="s">
        <v>6</v>
      </c>
      <c r="E784" s="146">
        <v>532000</v>
      </c>
      <c r="F784" s="125"/>
      <c r="G784" s="125">
        <v>4013487.1</v>
      </c>
    </row>
    <row r="785" spans="1:7" ht="18.75">
      <c r="A785" s="123"/>
      <c r="B785" s="124" t="s">
        <v>464</v>
      </c>
      <c r="E785" s="146">
        <v>532000</v>
      </c>
      <c r="F785" s="125"/>
      <c r="G785" s="125">
        <f>21800+45500</f>
        <v>67300</v>
      </c>
    </row>
    <row r="786" spans="1:7" ht="18.75">
      <c r="A786" s="123"/>
      <c r="B786" s="124" t="s">
        <v>7</v>
      </c>
      <c r="E786" s="146">
        <v>533000</v>
      </c>
      <c r="F786" s="125"/>
      <c r="G786" s="125">
        <v>3315073.5</v>
      </c>
    </row>
    <row r="787" spans="1:7" ht="18.75">
      <c r="A787" s="123"/>
      <c r="B787" s="124" t="s">
        <v>465</v>
      </c>
      <c r="E787" s="146">
        <v>533000</v>
      </c>
      <c r="F787" s="125"/>
      <c r="G787" s="125">
        <v>338047</v>
      </c>
    </row>
    <row r="788" spans="1:7" ht="18.75">
      <c r="A788" s="123"/>
      <c r="B788" s="124" t="s">
        <v>8</v>
      </c>
      <c r="E788" s="146">
        <v>534000</v>
      </c>
      <c r="F788" s="125"/>
      <c r="G788" s="125">
        <v>869916.65</v>
      </c>
    </row>
    <row r="789" spans="1:7" ht="18.75">
      <c r="A789" s="123"/>
      <c r="B789" s="124" t="s">
        <v>9</v>
      </c>
      <c r="E789" s="146">
        <v>541000</v>
      </c>
      <c r="F789" s="125"/>
      <c r="G789" s="125">
        <v>400472</v>
      </c>
    </row>
    <row r="790" spans="1:7" ht="18.75">
      <c r="A790" s="123"/>
      <c r="B790" s="124" t="s">
        <v>541</v>
      </c>
      <c r="E790" s="146">
        <v>541000</v>
      </c>
      <c r="F790" s="125"/>
      <c r="G790" s="125">
        <v>51514.02</v>
      </c>
    </row>
    <row r="791" spans="1:7" ht="18.75">
      <c r="A791" s="123"/>
      <c r="B791" s="124" t="s">
        <v>10</v>
      </c>
      <c r="E791" s="146">
        <v>542000</v>
      </c>
      <c r="F791" s="125"/>
      <c r="G791" s="125">
        <f>+งบดุลบัญชี!BY128</f>
        <v>5497140</v>
      </c>
    </row>
    <row r="792" spans="1:7" ht="18.75">
      <c r="A792" s="123"/>
      <c r="B792" s="124" t="s">
        <v>13</v>
      </c>
      <c r="E792" s="146">
        <v>561000</v>
      </c>
      <c r="F792" s="125"/>
      <c r="G792" s="125">
        <v>2586600</v>
      </c>
    </row>
    <row r="793" spans="1:8" ht="18.75">
      <c r="A793" s="123"/>
      <c r="B793" s="124" t="s">
        <v>12</v>
      </c>
      <c r="E793" s="146">
        <v>551000</v>
      </c>
      <c r="F793" s="125"/>
      <c r="G793" s="125">
        <v>25000</v>
      </c>
      <c r="H793" s="113">
        <f>SUM(G774:G793)</f>
        <v>37264728.22</v>
      </c>
    </row>
    <row r="794" spans="1:7" ht="18.75">
      <c r="A794" s="127"/>
      <c r="B794" s="128"/>
      <c r="C794" s="128"/>
      <c r="D794" s="128"/>
      <c r="E794" s="305"/>
      <c r="F794" s="129"/>
      <c r="G794" s="129"/>
    </row>
    <row r="795" spans="5:7" ht="19.5" thickBot="1">
      <c r="E795" s="173"/>
      <c r="F795" s="130">
        <f>SUM(F772:F794)</f>
        <v>44338550.31</v>
      </c>
      <c r="G795" s="130">
        <f>SUM(G773:G794)</f>
        <v>44338550.31</v>
      </c>
    </row>
    <row r="796" spans="5:7" ht="19.5" thickTop="1">
      <c r="E796" s="173"/>
      <c r="F796" s="3"/>
      <c r="G796" s="3"/>
    </row>
    <row r="797" spans="1:7" ht="18.75">
      <c r="A797" s="4" t="s">
        <v>141</v>
      </c>
      <c r="B797" s="4" t="s">
        <v>560</v>
      </c>
      <c r="E797" s="173"/>
      <c r="F797" s="3"/>
      <c r="G797" s="131"/>
    </row>
    <row r="798" spans="2:7" ht="18.75">
      <c r="B798" s="4"/>
      <c r="E798" s="173"/>
      <c r="F798" s="3"/>
      <c r="G798" s="3"/>
    </row>
    <row r="799" spans="2:7" ht="18.75">
      <c r="B799" s="4"/>
      <c r="E799" s="173"/>
      <c r="F799" s="3"/>
      <c r="G799" s="3"/>
    </row>
    <row r="800" spans="1:7" ht="18.75">
      <c r="A800" s="693" t="s">
        <v>144</v>
      </c>
      <c r="B800" s="694"/>
      <c r="C800" s="695"/>
      <c r="D800" s="693" t="s">
        <v>143</v>
      </c>
      <c r="E800" s="695"/>
      <c r="F800" s="693" t="s">
        <v>142</v>
      </c>
      <c r="G800" s="695"/>
    </row>
    <row r="801" spans="1:7" ht="18.75">
      <c r="A801" s="123"/>
      <c r="B801" s="124"/>
      <c r="C801" s="126"/>
      <c r="D801" s="123"/>
      <c r="E801" s="309"/>
      <c r="F801" s="249"/>
      <c r="G801" s="126"/>
    </row>
    <row r="802" spans="1:7" ht="18.75">
      <c r="A802" s="696" t="s">
        <v>351</v>
      </c>
      <c r="B802" s="697"/>
      <c r="C802" s="698"/>
      <c r="D802" s="696" t="s">
        <v>33</v>
      </c>
      <c r="E802" s="698"/>
      <c r="F802" s="696" t="str">
        <f>+A802</f>
        <v>(นางสาววรรณา  ผลบุญ)</v>
      </c>
      <c r="G802" s="698"/>
    </row>
    <row r="803" spans="1:7" ht="18.75">
      <c r="A803" s="696" t="s">
        <v>352</v>
      </c>
      <c r="B803" s="697"/>
      <c r="C803" s="698"/>
      <c r="D803" s="696" t="s">
        <v>389</v>
      </c>
      <c r="E803" s="698"/>
      <c r="F803" s="696" t="str">
        <f>+A803</f>
        <v>เจ้าพนักงานการเงินและบัญชี</v>
      </c>
      <c r="G803" s="698"/>
    </row>
    <row r="804" spans="1:7" ht="18.75">
      <c r="A804" s="305"/>
      <c r="B804" s="313"/>
      <c r="C804" s="306"/>
      <c r="D804" s="687" t="s">
        <v>36</v>
      </c>
      <c r="E804" s="688"/>
      <c r="F804" s="250"/>
      <c r="G804" s="306"/>
    </row>
    <row r="805" spans="5:7" ht="18.75">
      <c r="E805" s="173"/>
      <c r="F805" s="3"/>
      <c r="G805" s="118" t="s">
        <v>539</v>
      </c>
    </row>
    <row r="806" spans="5:7" ht="18.75">
      <c r="E806" s="173"/>
      <c r="F806" s="3"/>
      <c r="G806" s="118" t="s">
        <v>479</v>
      </c>
    </row>
    <row r="807" spans="1:7" ht="18.75">
      <c r="A807" s="700" t="s">
        <v>153</v>
      </c>
      <c r="B807" s="700"/>
      <c r="C807" s="700"/>
      <c r="D807" s="700"/>
      <c r="E807" s="700"/>
      <c r="F807" s="700"/>
      <c r="G807" s="700"/>
    </row>
    <row r="808" spans="1:6" ht="18.75">
      <c r="A808" s="4" t="s">
        <v>138</v>
      </c>
      <c r="E808" s="173"/>
      <c r="F808" s="3"/>
    </row>
    <row r="809" spans="1:7" ht="18.75">
      <c r="A809" s="326" t="s">
        <v>0</v>
      </c>
      <c r="B809" s="327"/>
      <c r="C809" s="327"/>
      <c r="D809" s="327"/>
      <c r="E809" s="330" t="s">
        <v>139</v>
      </c>
      <c r="F809" s="248" t="s">
        <v>40</v>
      </c>
      <c r="G809" s="330" t="s">
        <v>1</v>
      </c>
    </row>
    <row r="810" spans="1:7" ht="18.75">
      <c r="A810" s="144" t="s">
        <v>541</v>
      </c>
      <c r="B810" s="322"/>
      <c r="C810" s="322"/>
      <c r="D810" s="322"/>
      <c r="E810" s="323">
        <v>541000</v>
      </c>
      <c r="F810" s="135">
        <v>51514.02</v>
      </c>
      <c r="G810" s="135"/>
    </row>
    <row r="811" spans="1:7" ht="18.75">
      <c r="A811" s="136"/>
      <c r="B811" s="124" t="s">
        <v>465</v>
      </c>
      <c r="E811" s="323">
        <v>533000</v>
      </c>
      <c r="F811" s="125"/>
      <c r="G811" s="125">
        <f>+F810</f>
        <v>51514.02</v>
      </c>
    </row>
    <row r="812" spans="1:7" ht="18.75">
      <c r="A812" s="138"/>
      <c r="B812" s="124"/>
      <c r="E812" s="146"/>
      <c r="F812" s="125"/>
      <c r="G812" s="125"/>
    </row>
    <row r="813" spans="1:7" ht="18.75">
      <c r="A813" s="138"/>
      <c r="B813" s="124"/>
      <c r="E813" s="146"/>
      <c r="F813" s="125"/>
      <c r="G813" s="125"/>
    </row>
    <row r="814" spans="1:7" ht="18.75">
      <c r="A814" s="138"/>
      <c r="B814" s="124"/>
      <c r="E814" s="146"/>
      <c r="F814" s="125"/>
      <c r="G814" s="125"/>
    </row>
    <row r="815" spans="1:7" ht="18.75">
      <c r="A815" s="123"/>
      <c r="B815" s="124"/>
      <c r="E815" s="146"/>
      <c r="F815" s="125"/>
      <c r="G815" s="125"/>
    </row>
    <row r="816" spans="1:7" ht="18.75">
      <c r="A816" s="123"/>
      <c r="B816" s="124"/>
      <c r="E816" s="146"/>
      <c r="F816" s="125"/>
      <c r="G816" s="125"/>
    </row>
    <row r="817" spans="1:7" ht="18.75">
      <c r="A817" s="123"/>
      <c r="B817" s="124"/>
      <c r="E817" s="146"/>
      <c r="F817" s="125"/>
      <c r="G817" s="125"/>
    </row>
    <row r="818" spans="1:7" ht="18.75">
      <c r="A818" s="123"/>
      <c r="B818" s="124"/>
      <c r="E818" s="146"/>
      <c r="F818" s="125"/>
      <c r="G818" s="125"/>
    </row>
    <row r="819" spans="1:7" ht="18.75">
      <c r="A819" s="123"/>
      <c r="B819" s="124"/>
      <c r="E819" s="146"/>
      <c r="F819" s="125"/>
      <c r="G819" s="125"/>
    </row>
    <row r="820" spans="1:7" ht="18.75">
      <c r="A820" s="123"/>
      <c r="B820" s="124"/>
      <c r="E820" s="146"/>
      <c r="F820" s="125"/>
      <c r="G820" s="125"/>
    </row>
    <row r="821" spans="1:7" ht="18.75">
      <c r="A821" s="123"/>
      <c r="B821" s="124"/>
      <c r="E821" s="146"/>
      <c r="F821" s="125"/>
      <c r="G821" s="125"/>
    </row>
    <row r="822" spans="1:7" ht="18.75">
      <c r="A822" s="123"/>
      <c r="B822" s="124"/>
      <c r="E822" s="146"/>
      <c r="F822" s="125"/>
      <c r="G822" s="125"/>
    </row>
    <row r="823" spans="1:7" ht="18.75">
      <c r="A823" s="123"/>
      <c r="B823" s="124"/>
      <c r="E823" s="146"/>
      <c r="F823" s="125"/>
      <c r="G823" s="125"/>
    </row>
    <row r="824" spans="1:7" ht="18.75">
      <c r="A824" s="123"/>
      <c r="B824" s="124"/>
      <c r="E824" s="146"/>
      <c r="F824" s="125"/>
      <c r="G824" s="125"/>
    </row>
    <row r="825" spans="1:7" ht="18.75">
      <c r="A825" s="123"/>
      <c r="B825" s="124"/>
      <c r="E825" s="146"/>
      <c r="F825" s="125"/>
      <c r="G825" s="125"/>
    </row>
    <row r="826" spans="1:7" ht="18.75">
      <c r="A826" s="123"/>
      <c r="B826" s="124"/>
      <c r="E826" s="146"/>
      <c r="F826" s="125"/>
      <c r="G826" s="125"/>
    </row>
    <row r="827" spans="1:7" ht="18.75">
      <c r="A827" s="127"/>
      <c r="B827" s="128"/>
      <c r="C827" s="128"/>
      <c r="D827" s="128"/>
      <c r="E827" s="320"/>
      <c r="F827" s="129"/>
      <c r="G827" s="129"/>
    </row>
    <row r="828" spans="5:7" ht="19.5" thickBot="1">
      <c r="E828" s="173"/>
      <c r="F828" s="130">
        <f>SUM(F810:F827)</f>
        <v>51514.02</v>
      </c>
      <c r="G828" s="130">
        <f>SUM(G810:G827)</f>
        <v>51514.02</v>
      </c>
    </row>
    <row r="829" spans="5:7" ht="19.5" thickTop="1">
      <c r="E829" s="173"/>
      <c r="F829" s="3"/>
      <c r="G829" s="3"/>
    </row>
    <row r="830" spans="1:7" ht="18.75">
      <c r="A830" s="4" t="s">
        <v>141</v>
      </c>
      <c r="B830" s="4" t="s">
        <v>544</v>
      </c>
      <c r="E830" s="173"/>
      <c r="F830" s="3"/>
      <c r="G830" s="131"/>
    </row>
    <row r="831" spans="2:7" ht="18.75">
      <c r="B831" s="4" t="s">
        <v>545</v>
      </c>
      <c r="E831" s="173"/>
      <c r="F831" s="3"/>
      <c r="G831" s="3"/>
    </row>
    <row r="832" spans="2:7" ht="18.75">
      <c r="B832" s="4"/>
      <c r="E832" s="173"/>
      <c r="F832" s="3"/>
      <c r="G832" s="3"/>
    </row>
    <row r="833" spans="1:7" ht="18.75">
      <c r="A833" s="693" t="s">
        <v>144</v>
      </c>
      <c r="B833" s="694"/>
      <c r="C833" s="695"/>
      <c r="D833" s="693" t="s">
        <v>143</v>
      </c>
      <c r="E833" s="695"/>
      <c r="F833" s="693" t="s">
        <v>142</v>
      </c>
      <c r="G833" s="695"/>
    </row>
    <row r="834" spans="1:7" ht="18.75">
      <c r="A834" s="123"/>
      <c r="B834" s="124"/>
      <c r="C834" s="126"/>
      <c r="D834" s="123"/>
      <c r="E834" s="324"/>
      <c r="F834" s="249"/>
      <c r="G834" s="126"/>
    </row>
    <row r="835" spans="1:7" ht="18.75">
      <c r="A835" s="696" t="s">
        <v>351</v>
      </c>
      <c r="B835" s="697"/>
      <c r="C835" s="698"/>
      <c r="D835" s="696" t="s">
        <v>33</v>
      </c>
      <c r="E835" s="698"/>
      <c r="F835" s="696" t="str">
        <f>+A835</f>
        <v>(นางสาววรรณา  ผลบุญ)</v>
      </c>
      <c r="G835" s="698"/>
    </row>
    <row r="836" spans="1:7" ht="18.75">
      <c r="A836" s="696" t="s">
        <v>352</v>
      </c>
      <c r="B836" s="697"/>
      <c r="C836" s="698"/>
      <c r="D836" s="696" t="s">
        <v>389</v>
      </c>
      <c r="E836" s="698"/>
      <c r="F836" s="696" t="str">
        <f>+A836</f>
        <v>เจ้าพนักงานการเงินและบัญชี</v>
      </c>
      <c r="G836" s="698"/>
    </row>
    <row r="837" spans="1:7" ht="18.75">
      <c r="A837" s="320"/>
      <c r="B837" s="325"/>
      <c r="C837" s="321"/>
      <c r="D837" s="687" t="s">
        <v>36</v>
      </c>
      <c r="E837" s="688"/>
      <c r="F837" s="250"/>
      <c r="G837" s="321"/>
    </row>
    <row r="838" spans="5:7" ht="18.75">
      <c r="E838" s="173"/>
      <c r="F838" s="3"/>
      <c r="G838" s="118" t="s">
        <v>548</v>
      </c>
    </row>
    <row r="839" spans="5:7" ht="18.75">
      <c r="E839" s="173"/>
      <c r="F839" s="3"/>
      <c r="G839" s="118" t="s">
        <v>479</v>
      </c>
    </row>
    <row r="840" spans="1:7" ht="18.75">
      <c r="A840" s="700" t="s">
        <v>153</v>
      </c>
      <c r="B840" s="700"/>
      <c r="C840" s="700"/>
      <c r="D840" s="700"/>
      <c r="E840" s="700"/>
      <c r="F840" s="700"/>
      <c r="G840" s="700"/>
    </row>
    <row r="841" spans="1:6" ht="18.75">
      <c r="A841" s="4" t="s">
        <v>138</v>
      </c>
      <c r="E841" s="173"/>
      <c r="F841" s="3"/>
    </row>
    <row r="842" spans="1:7" ht="18.75">
      <c r="A842" s="326" t="s">
        <v>0</v>
      </c>
      <c r="B842" s="327"/>
      <c r="C842" s="327"/>
      <c r="D842" s="327"/>
      <c r="E842" s="330" t="s">
        <v>139</v>
      </c>
      <c r="F842" s="248" t="s">
        <v>40</v>
      </c>
      <c r="G842" s="330" t="s">
        <v>1</v>
      </c>
    </row>
    <row r="843" spans="1:7" ht="18.75">
      <c r="A843" s="144" t="s">
        <v>59</v>
      </c>
      <c r="B843" s="332"/>
      <c r="C843" s="332"/>
      <c r="D843" s="332"/>
      <c r="E843" s="331">
        <v>210500</v>
      </c>
      <c r="F843" s="135">
        <v>19139.22</v>
      </c>
      <c r="G843" s="135"/>
    </row>
    <row r="844" spans="1:7" ht="18.75">
      <c r="A844" s="136"/>
      <c r="B844" s="124" t="s">
        <v>15</v>
      </c>
      <c r="E844" s="331">
        <v>300000</v>
      </c>
      <c r="F844" s="125"/>
      <c r="G844" s="125">
        <f>+F843</f>
        <v>19139.22</v>
      </c>
    </row>
    <row r="845" spans="1:7" ht="18.75">
      <c r="A845" s="138"/>
      <c r="B845" s="124"/>
      <c r="E845" s="146"/>
      <c r="F845" s="125"/>
      <c r="G845" s="125"/>
    </row>
    <row r="846" spans="1:7" ht="18.75">
      <c r="A846" s="138"/>
      <c r="B846" s="124"/>
      <c r="E846" s="146"/>
      <c r="F846" s="125"/>
      <c r="G846" s="125"/>
    </row>
    <row r="847" spans="1:7" ht="18.75">
      <c r="A847" s="138"/>
      <c r="B847" s="124"/>
      <c r="E847" s="146"/>
      <c r="F847" s="125"/>
      <c r="G847" s="125"/>
    </row>
    <row r="848" spans="1:7" ht="18.75">
      <c r="A848" s="123"/>
      <c r="B848" s="124"/>
      <c r="E848" s="146"/>
      <c r="F848" s="125"/>
      <c r="G848" s="125"/>
    </row>
    <row r="849" spans="1:7" ht="18.75">
      <c r="A849" s="123"/>
      <c r="B849" s="124"/>
      <c r="E849" s="146"/>
      <c r="F849" s="125"/>
      <c r="G849" s="125"/>
    </row>
    <row r="850" spans="1:7" ht="18.75">
      <c r="A850" s="123"/>
      <c r="B850" s="124"/>
      <c r="E850" s="146"/>
      <c r="F850" s="125"/>
      <c r="G850" s="125"/>
    </row>
    <row r="851" spans="1:7" ht="18.75">
      <c r="A851" s="123"/>
      <c r="B851" s="124"/>
      <c r="E851" s="146"/>
      <c r="F851" s="125"/>
      <c r="G851" s="125"/>
    </row>
    <row r="852" spans="1:7" ht="18.75">
      <c r="A852" s="123"/>
      <c r="B852" s="124"/>
      <c r="E852" s="146"/>
      <c r="F852" s="125"/>
      <c r="G852" s="125"/>
    </row>
    <row r="853" spans="1:7" ht="18.75">
      <c r="A853" s="123"/>
      <c r="B853" s="124"/>
      <c r="E853" s="146"/>
      <c r="F853" s="125"/>
      <c r="G853" s="125"/>
    </row>
    <row r="854" spans="1:7" ht="18.75">
      <c r="A854" s="123"/>
      <c r="B854" s="124"/>
      <c r="E854" s="146"/>
      <c r="F854" s="125"/>
      <c r="G854" s="125"/>
    </row>
    <row r="855" spans="1:7" ht="18.75">
      <c r="A855" s="123"/>
      <c r="B855" s="124"/>
      <c r="E855" s="146"/>
      <c r="F855" s="125"/>
      <c r="G855" s="125"/>
    </row>
    <row r="856" spans="1:7" ht="18.75">
      <c r="A856" s="123"/>
      <c r="B856" s="124"/>
      <c r="E856" s="146"/>
      <c r="F856" s="125"/>
      <c r="G856" s="125"/>
    </row>
    <row r="857" spans="1:7" ht="18.75">
      <c r="A857" s="123"/>
      <c r="B857" s="124"/>
      <c r="E857" s="146"/>
      <c r="F857" s="125"/>
      <c r="G857" s="125"/>
    </row>
    <row r="858" spans="1:7" ht="18.75">
      <c r="A858" s="123"/>
      <c r="B858" s="124"/>
      <c r="E858" s="146"/>
      <c r="F858" s="125"/>
      <c r="G858" s="125"/>
    </row>
    <row r="859" spans="1:7" ht="18.75">
      <c r="A859" s="123"/>
      <c r="B859" s="124"/>
      <c r="E859" s="146"/>
      <c r="F859" s="125"/>
      <c r="G859" s="125"/>
    </row>
    <row r="860" spans="1:7" ht="18.75">
      <c r="A860" s="127"/>
      <c r="B860" s="128"/>
      <c r="C860" s="128"/>
      <c r="D860" s="128"/>
      <c r="E860" s="320"/>
      <c r="F860" s="129"/>
      <c r="G860" s="129"/>
    </row>
    <row r="861" spans="5:7" ht="19.5" thickBot="1">
      <c r="E861" s="173"/>
      <c r="F861" s="130">
        <f>SUM(F843:F860)</f>
        <v>19139.22</v>
      </c>
      <c r="G861" s="130">
        <f>SUM(G843:G860)</f>
        <v>19139.22</v>
      </c>
    </row>
    <row r="862" spans="5:7" ht="19.5" thickTop="1">
      <c r="E862" s="173"/>
      <c r="F862" s="3"/>
      <c r="G862" s="3"/>
    </row>
    <row r="863" spans="1:7" ht="18.75">
      <c r="A863" s="4" t="s">
        <v>141</v>
      </c>
      <c r="B863" s="4" t="s">
        <v>369</v>
      </c>
      <c r="E863" s="173"/>
      <c r="F863" s="3"/>
      <c r="G863" s="131"/>
    </row>
    <row r="864" spans="2:7" ht="18.75">
      <c r="B864" s="4"/>
      <c r="E864" s="173"/>
      <c r="F864" s="3"/>
      <c r="G864" s="3"/>
    </row>
    <row r="865" spans="2:7" ht="18.75">
      <c r="B865" s="4"/>
      <c r="E865" s="173"/>
      <c r="F865" s="3"/>
      <c r="G865" s="3"/>
    </row>
    <row r="866" spans="1:7" ht="18.75">
      <c r="A866" s="693" t="s">
        <v>144</v>
      </c>
      <c r="B866" s="694"/>
      <c r="C866" s="695"/>
      <c r="D866" s="693" t="s">
        <v>143</v>
      </c>
      <c r="E866" s="695"/>
      <c r="F866" s="693" t="s">
        <v>142</v>
      </c>
      <c r="G866" s="695"/>
    </row>
    <row r="867" spans="1:7" ht="18.75">
      <c r="A867" s="123"/>
      <c r="B867" s="124"/>
      <c r="C867" s="126"/>
      <c r="D867" s="123"/>
      <c r="E867" s="324"/>
      <c r="F867" s="249"/>
      <c r="G867" s="126"/>
    </row>
    <row r="868" spans="1:7" ht="18.75">
      <c r="A868" s="696" t="s">
        <v>351</v>
      </c>
      <c r="B868" s="697"/>
      <c r="C868" s="698"/>
      <c r="D868" s="696" t="s">
        <v>33</v>
      </c>
      <c r="E868" s="698"/>
      <c r="F868" s="696" t="str">
        <f>+A868</f>
        <v>(นางสาววรรณา  ผลบุญ)</v>
      </c>
      <c r="G868" s="698"/>
    </row>
    <row r="869" spans="1:7" ht="18.75">
      <c r="A869" s="696" t="s">
        <v>352</v>
      </c>
      <c r="B869" s="697"/>
      <c r="C869" s="698"/>
      <c r="D869" s="696" t="s">
        <v>389</v>
      </c>
      <c r="E869" s="698"/>
      <c r="F869" s="696" t="str">
        <f>+A869</f>
        <v>เจ้าพนักงานการเงินและบัญชี</v>
      </c>
      <c r="G869" s="698"/>
    </row>
    <row r="870" spans="1:7" ht="18.75">
      <c r="A870" s="320"/>
      <c r="B870" s="325"/>
      <c r="C870" s="321"/>
      <c r="D870" s="687" t="s">
        <v>36</v>
      </c>
      <c r="E870" s="688"/>
      <c r="F870" s="250"/>
      <c r="G870" s="321"/>
    </row>
    <row r="871" spans="5:7" ht="18.75">
      <c r="E871" s="173"/>
      <c r="F871" s="3"/>
      <c r="G871" s="118" t="s">
        <v>543</v>
      </c>
    </row>
    <row r="872" spans="5:7" ht="18.75">
      <c r="E872" s="173"/>
      <c r="F872" s="3"/>
      <c r="G872" s="118" t="s">
        <v>479</v>
      </c>
    </row>
    <row r="873" spans="1:7" ht="18.75">
      <c r="A873" s="700" t="s">
        <v>153</v>
      </c>
      <c r="B873" s="700"/>
      <c r="C873" s="700"/>
      <c r="D873" s="700"/>
      <c r="E873" s="700"/>
      <c r="F873" s="700"/>
      <c r="G873" s="700"/>
    </row>
    <row r="874" spans="1:6" ht="18.75">
      <c r="A874" s="4" t="s">
        <v>138</v>
      </c>
      <c r="E874" s="173"/>
      <c r="F874" s="3"/>
    </row>
    <row r="875" spans="1:7" ht="18.75">
      <c r="A875" s="341" t="s">
        <v>0</v>
      </c>
      <c r="B875" s="342"/>
      <c r="C875" s="342"/>
      <c r="D875" s="342"/>
      <c r="E875" s="344" t="s">
        <v>139</v>
      </c>
      <c r="F875" s="248" t="s">
        <v>40</v>
      </c>
      <c r="G875" s="344" t="s">
        <v>1</v>
      </c>
    </row>
    <row r="876" spans="1:7" ht="18.75">
      <c r="A876" s="144" t="s">
        <v>550</v>
      </c>
      <c r="B876" s="339"/>
      <c r="C876" s="339"/>
      <c r="D876" s="339"/>
      <c r="E876" s="335">
        <v>410000</v>
      </c>
      <c r="F876" s="135">
        <v>53500</v>
      </c>
      <c r="G876" s="135"/>
    </row>
    <row r="877" spans="1:7" ht="18.75">
      <c r="A877" s="136"/>
      <c r="B877" s="124" t="s">
        <v>551</v>
      </c>
      <c r="E877" s="335">
        <v>410000</v>
      </c>
      <c r="F877" s="125"/>
      <c r="G877" s="125">
        <f>+F876</f>
        <v>53500</v>
      </c>
    </row>
    <row r="878" spans="1:7" ht="18.75">
      <c r="A878" s="138"/>
      <c r="B878" s="124"/>
      <c r="E878" s="146"/>
      <c r="F878" s="125"/>
      <c r="G878" s="125"/>
    </row>
    <row r="879" spans="1:7" ht="18.75">
      <c r="A879" s="138"/>
      <c r="B879" s="124"/>
      <c r="E879" s="146"/>
      <c r="F879" s="125"/>
      <c r="G879" s="125"/>
    </row>
    <row r="880" spans="1:7" ht="18.75">
      <c r="A880" s="138"/>
      <c r="B880" s="124"/>
      <c r="E880" s="146"/>
      <c r="F880" s="125"/>
      <c r="G880" s="125"/>
    </row>
    <row r="881" spans="1:7" ht="18.75">
      <c r="A881" s="123"/>
      <c r="B881" s="124"/>
      <c r="E881" s="146"/>
      <c r="F881" s="125"/>
      <c r="G881" s="125"/>
    </row>
    <row r="882" spans="1:7" ht="18.75">
      <c r="A882" s="123"/>
      <c r="B882" s="124"/>
      <c r="E882" s="146"/>
      <c r="F882" s="125"/>
      <c r="G882" s="125"/>
    </row>
    <row r="883" spans="1:7" ht="18.75">
      <c r="A883" s="123"/>
      <c r="B883" s="124"/>
      <c r="E883" s="146"/>
      <c r="F883" s="125"/>
      <c r="G883" s="125"/>
    </row>
    <row r="884" spans="1:7" ht="18.75">
      <c r="A884" s="123"/>
      <c r="B884" s="124"/>
      <c r="E884" s="146"/>
      <c r="F884" s="125"/>
      <c r="G884" s="125"/>
    </row>
    <row r="885" spans="1:7" ht="18.75">
      <c r="A885" s="123"/>
      <c r="B885" s="124"/>
      <c r="E885" s="146"/>
      <c r="F885" s="125"/>
      <c r="G885" s="125"/>
    </row>
    <row r="886" spans="1:7" ht="18.75">
      <c r="A886" s="123"/>
      <c r="B886" s="124"/>
      <c r="E886" s="146"/>
      <c r="F886" s="125"/>
      <c r="G886" s="125"/>
    </row>
    <row r="887" spans="1:7" ht="18.75">
      <c r="A887" s="123"/>
      <c r="B887" s="124"/>
      <c r="E887" s="146"/>
      <c r="F887" s="125"/>
      <c r="G887" s="125"/>
    </row>
    <row r="888" spans="1:7" ht="18.75">
      <c r="A888" s="123"/>
      <c r="B888" s="124"/>
      <c r="E888" s="146"/>
      <c r="F888" s="125"/>
      <c r="G888" s="125"/>
    </row>
    <row r="889" spans="1:7" ht="18.75">
      <c r="A889" s="123"/>
      <c r="B889" s="124"/>
      <c r="E889" s="146"/>
      <c r="F889" s="125"/>
      <c r="G889" s="125"/>
    </row>
    <row r="890" spans="1:7" ht="18.75">
      <c r="A890" s="123"/>
      <c r="B890" s="124"/>
      <c r="E890" s="146"/>
      <c r="F890" s="125"/>
      <c r="G890" s="125"/>
    </row>
    <row r="891" spans="1:7" ht="18.75">
      <c r="A891" s="123"/>
      <c r="B891" s="124"/>
      <c r="E891" s="146"/>
      <c r="F891" s="125"/>
      <c r="G891" s="125"/>
    </row>
    <row r="892" spans="1:7" ht="18.75">
      <c r="A892" s="123"/>
      <c r="B892" s="124"/>
      <c r="E892" s="146"/>
      <c r="F892" s="125"/>
      <c r="G892" s="125"/>
    </row>
    <row r="893" spans="1:7" ht="18.75">
      <c r="A893" s="127"/>
      <c r="B893" s="128"/>
      <c r="C893" s="128"/>
      <c r="D893" s="128"/>
      <c r="E893" s="337"/>
      <c r="F893" s="129"/>
      <c r="G893" s="129"/>
    </row>
    <row r="894" spans="5:7" ht="19.5" thickBot="1">
      <c r="E894" s="173"/>
      <c r="F894" s="130">
        <f>SUM(F876:F893)</f>
        <v>53500</v>
      </c>
      <c r="G894" s="130">
        <f>SUM(G876:G893)</f>
        <v>53500</v>
      </c>
    </row>
    <row r="895" spans="5:7" ht="19.5" thickTop="1">
      <c r="E895" s="173"/>
      <c r="F895" s="3"/>
      <c r="G895" s="3"/>
    </row>
    <row r="896" spans="1:7" ht="18.75">
      <c r="A896" s="4" t="s">
        <v>141</v>
      </c>
      <c r="B896" s="4" t="s">
        <v>553</v>
      </c>
      <c r="E896" s="173"/>
      <c r="F896" s="3"/>
      <c r="G896" s="131"/>
    </row>
    <row r="897" spans="1:7" s="4" customFormat="1" ht="18.75">
      <c r="A897" s="4" t="s">
        <v>554</v>
      </c>
      <c r="E897" s="340"/>
      <c r="F897" s="105"/>
      <c r="G897" s="105"/>
    </row>
    <row r="898" spans="1:7" s="4" customFormat="1" ht="18.75">
      <c r="A898" s="4" t="s">
        <v>555</v>
      </c>
      <c r="E898" s="340"/>
      <c r="F898" s="105"/>
      <c r="G898" s="105"/>
    </row>
    <row r="899" spans="1:7" ht="18.75">
      <c r="A899" s="693" t="s">
        <v>144</v>
      </c>
      <c r="B899" s="694"/>
      <c r="C899" s="695"/>
      <c r="D899" s="693" t="s">
        <v>143</v>
      </c>
      <c r="E899" s="695"/>
      <c r="F899" s="693" t="s">
        <v>142</v>
      </c>
      <c r="G899" s="695"/>
    </row>
    <row r="900" spans="1:7" ht="18.75">
      <c r="A900" s="123"/>
      <c r="B900" s="124"/>
      <c r="C900" s="126"/>
      <c r="D900" s="123"/>
      <c r="E900" s="336"/>
      <c r="F900" s="249"/>
      <c r="G900" s="126"/>
    </row>
    <row r="901" spans="1:7" ht="18.75">
      <c r="A901" s="696" t="s">
        <v>351</v>
      </c>
      <c r="B901" s="697"/>
      <c r="C901" s="698"/>
      <c r="D901" s="696" t="s">
        <v>33</v>
      </c>
      <c r="E901" s="698"/>
      <c r="F901" s="696" t="str">
        <f>+A901</f>
        <v>(นางสาววรรณา  ผลบุญ)</v>
      </c>
      <c r="G901" s="698"/>
    </row>
    <row r="902" spans="1:7" ht="18.75">
      <c r="A902" s="696" t="s">
        <v>352</v>
      </c>
      <c r="B902" s="697"/>
      <c r="C902" s="698"/>
      <c r="D902" s="696" t="s">
        <v>389</v>
      </c>
      <c r="E902" s="698"/>
      <c r="F902" s="696" t="str">
        <f>+A902</f>
        <v>เจ้าพนักงานการเงินและบัญชี</v>
      </c>
      <c r="G902" s="698"/>
    </row>
    <row r="903" spans="1:7" ht="18.75">
      <c r="A903" s="337"/>
      <c r="B903" s="343"/>
      <c r="C903" s="338"/>
      <c r="D903" s="687" t="s">
        <v>36</v>
      </c>
      <c r="E903" s="688"/>
      <c r="F903" s="250"/>
      <c r="G903" s="338"/>
    </row>
    <row r="904" spans="5:7" ht="18.75">
      <c r="E904" s="173"/>
      <c r="F904" s="3"/>
      <c r="G904" s="118" t="s">
        <v>552</v>
      </c>
    </row>
    <row r="905" spans="5:7" ht="18.75">
      <c r="E905" s="173"/>
      <c r="F905" s="3"/>
      <c r="G905" s="118" t="s">
        <v>479</v>
      </c>
    </row>
    <row r="906" spans="1:7" ht="18.75">
      <c r="A906" s="700" t="s">
        <v>153</v>
      </c>
      <c r="B906" s="700"/>
      <c r="C906" s="700"/>
      <c r="D906" s="700"/>
      <c r="E906" s="700"/>
      <c r="F906" s="700"/>
      <c r="G906" s="700"/>
    </row>
    <row r="907" spans="1:6" ht="18.75">
      <c r="A907" s="4" t="s">
        <v>138</v>
      </c>
      <c r="E907" s="173"/>
      <c r="F907" s="3"/>
    </row>
    <row r="908" spans="1:7" ht="18.75">
      <c r="A908" s="341" t="s">
        <v>0</v>
      </c>
      <c r="B908" s="342"/>
      <c r="C908" s="342"/>
      <c r="D908" s="342"/>
      <c r="E908" s="344" t="s">
        <v>139</v>
      </c>
      <c r="F908" s="248" t="s">
        <v>40</v>
      </c>
      <c r="G908" s="344" t="s">
        <v>1</v>
      </c>
    </row>
    <row r="909" spans="1:7" ht="18.75">
      <c r="A909" s="144" t="s">
        <v>550</v>
      </c>
      <c r="B909" s="339"/>
      <c r="C909" s="339"/>
      <c r="D909" s="339"/>
      <c r="E909" s="335">
        <v>410000</v>
      </c>
      <c r="F909" s="135">
        <v>53500</v>
      </c>
      <c r="G909" s="135"/>
    </row>
    <row r="910" spans="1:7" ht="18.75">
      <c r="A910" s="136"/>
      <c r="B910" s="124" t="s">
        <v>551</v>
      </c>
      <c r="E910" s="335">
        <v>410000</v>
      </c>
      <c r="F910" s="125"/>
      <c r="G910" s="125">
        <f>+F909</f>
        <v>53500</v>
      </c>
    </row>
    <row r="911" spans="1:7" ht="18.75">
      <c r="A911" s="138"/>
      <c r="B911" s="124"/>
      <c r="E911" s="146"/>
      <c r="F911" s="125"/>
      <c r="G911" s="125"/>
    </row>
    <row r="912" spans="1:7" ht="18.75">
      <c r="A912" s="138"/>
      <c r="B912" s="124"/>
      <c r="E912" s="146"/>
      <c r="F912" s="125"/>
      <c r="G912" s="125"/>
    </row>
    <row r="913" spans="1:7" ht="18.75">
      <c r="A913" s="138"/>
      <c r="B913" s="124"/>
      <c r="E913" s="146"/>
      <c r="F913" s="125"/>
      <c r="G913" s="125"/>
    </row>
    <row r="914" spans="1:7" ht="18.75">
      <c r="A914" s="123"/>
      <c r="B914" s="124"/>
      <c r="E914" s="146"/>
      <c r="F914" s="125"/>
      <c r="G914" s="125"/>
    </row>
    <row r="915" spans="1:7" ht="18.75">
      <c r="A915" s="123"/>
      <c r="B915" s="124"/>
      <c r="E915" s="146"/>
      <c r="F915" s="125"/>
      <c r="G915" s="125"/>
    </row>
    <row r="916" spans="1:7" ht="18.75">
      <c r="A916" s="123"/>
      <c r="B916" s="124"/>
      <c r="E916" s="146"/>
      <c r="F916" s="125"/>
      <c r="G916" s="125"/>
    </row>
    <row r="917" spans="1:7" ht="18.75">
      <c r="A917" s="123"/>
      <c r="B917" s="124"/>
      <c r="E917" s="146"/>
      <c r="F917" s="125"/>
      <c r="G917" s="125"/>
    </row>
    <row r="918" spans="1:7" ht="18.75">
      <c r="A918" s="123"/>
      <c r="B918" s="124"/>
      <c r="E918" s="146"/>
      <c r="F918" s="125"/>
      <c r="G918" s="125"/>
    </row>
    <row r="919" spans="1:7" ht="18.75">
      <c r="A919" s="123"/>
      <c r="B919" s="124"/>
      <c r="E919" s="146"/>
      <c r="F919" s="125"/>
      <c r="G919" s="125"/>
    </row>
    <row r="920" spans="1:7" ht="18.75">
      <c r="A920" s="123"/>
      <c r="B920" s="124"/>
      <c r="E920" s="146"/>
      <c r="F920" s="125"/>
      <c r="G920" s="125"/>
    </row>
    <row r="921" spans="1:7" ht="18.75">
      <c r="A921" s="123"/>
      <c r="B921" s="124"/>
      <c r="E921" s="146"/>
      <c r="F921" s="125"/>
      <c r="G921" s="125"/>
    </row>
    <row r="922" spans="1:7" ht="18.75">
      <c r="A922" s="123"/>
      <c r="B922" s="124"/>
      <c r="E922" s="146"/>
      <c r="F922" s="125"/>
      <c r="G922" s="125"/>
    </row>
    <row r="923" spans="1:7" ht="18.75">
      <c r="A923" s="123"/>
      <c r="B923" s="124"/>
      <c r="E923" s="146"/>
      <c r="F923" s="125"/>
      <c r="G923" s="125"/>
    </row>
    <row r="924" spans="1:7" ht="18.75">
      <c r="A924" s="123"/>
      <c r="B924" s="124"/>
      <c r="E924" s="146"/>
      <c r="F924" s="125"/>
      <c r="G924" s="125"/>
    </row>
    <row r="925" spans="1:7" ht="18.75">
      <c r="A925" s="123"/>
      <c r="B925" s="124"/>
      <c r="E925" s="146"/>
      <c r="F925" s="125"/>
      <c r="G925" s="125"/>
    </row>
    <row r="926" spans="1:7" ht="18.75">
      <c r="A926" s="127"/>
      <c r="B926" s="128"/>
      <c r="C926" s="128"/>
      <c r="D926" s="128"/>
      <c r="E926" s="337"/>
      <c r="F926" s="129"/>
      <c r="G926" s="129"/>
    </row>
    <row r="927" spans="5:7" ht="19.5" thickBot="1">
      <c r="E927" s="173"/>
      <c r="F927" s="130">
        <f>SUM(F909:F926)</f>
        <v>53500</v>
      </c>
      <c r="G927" s="130">
        <f>SUM(G909:G926)</f>
        <v>53500</v>
      </c>
    </row>
    <row r="928" spans="5:7" ht="19.5" thickTop="1">
      <c r="E928" s="173"/>
      <c r="F928" s="3"/>
      <c r="G928" s="3"/>
    </row>
    <row r="929" spans="1:7" ht="18.75">
      <c r="A929" s="4" t="s">
        <v>141</v>
      </c>
      <c r="B929" s="4" t="s">
        <v>553</v>
      </c>
      <c r="E929" s="173"/>
      <c r="F929" s="3"/>
      <c r="G929" s="131"/>
    </row>
    <row r="930" spans="1:7" ht="18.75">
      <c r="A930" s="4" t="s">
        <v>554</v>
      </c>
      <c r="B930" s="4"/>
      <c r="C930" s="4"/>
      <c r="D930" s="4"/>
      <c r="E930" s="340"/>
      <c r="F930" s="105"/>
      <c r="G930" s="105"/>
    </row>
    <row r="931" spans="1:7" ht="18.75">
      <c r="A931" s="4" t="s">
        <v>555</v>
      </c>
      <c r="B931" s="4"/>
      <c r="C931" s="4"/>
      <c r="D931" s="4"/>
      <c r="E931" s="340"/>
      <c r="F931" s="105"/>
      <c r="G931" s="105"/>
    </row>
    <row r="932" spans="1:7" ht="18.75">
      <c r="A932" s="693" t="s">
        <v>144</v>
      </c>
      <c r="B932" s="694"/>
      <c r="C932" s="695"/>
      <c r="D932" s="693" t="s">
        <v>143</v>
      </c>
      <c r="E932" s="695"/>
      <c r="F932" s="693" t="s">
        <v>142</v>
      </c>
      <c r="G932" s="695"/>
    </row>
    <row r="933" spans="1:7" ht="18.75">
      <c r="A933" s="123"/>
      <c r="B933" s="124"/>
      <c r="C933" s="126"/>
      <c r="D933" s="123"/>
      <c r="E933" s="336"/>
      <c r="F933" s="249"/>
      <c r="G933" s="126"/>
    </row>
    <row r="934" spans="1:7" ht="18.75">
      <c r="A934" s="696" t="s">
        <v>351</v>
      </c>
      <c r="B934" s="697"/>
      <c r="C934" s="698"/>
      <c r="D934" s="696" t="s">
        <v>33</v>
      </c>
      <c r="E934" s="698"/>
      <c r="F934" s="696" t="str">
        <f>+A934</f>
        <v>(นางสาววรรณา  ผลบุญ)</v>
      </c>
      <c r="G934" s="698"/>
    </row>
    <row r="935" spans="1:7" ht="18.75">
      <c r="A935" s="696" t="s">
        <v>352</v>
      </c>
      <c r="B935" s="697"/>
      <c r="C935" s="698"/>
      <c r="D935" s="696" t="s">
        <v>389</v>
      </c>
      <c r="E935" s="698"/>
      <c r="F935" s="696" t="str">
        <f>+A935</f>
        <v>เจ้าพนักงานการเงินและบัญชี</v>
      </c>
      <c r="G935" s="698"/>
    </row>
    <row r="936" spans="1:7" ht="18.75">
      <c r="A936" s="337"/>
      <c r="B936" s="343"/>
      <c r="C936" s="338"/>
      <c r="D936" s="687" t="s">
        <v>36</v>
      </c>
      <c r="E936" s="688"/>
      <c r="F936" s="250"/>
      <c r="G936" s="338"/>
    </row>
    <row r="937" spans="5:7" ht="18.75">
      <c r="E937" s="173"/>
      <c r="F937" s="3"/>
      <c r="G937" s="118" t="s">
        <v>556</v>
      </c>
    </row>
    <row r="938" spans="5:7" ht="18.75">
      <c r="E938" s="173"/>
      <c r="F938" s="3"/>
      <c r="G938" s="118" t="s">
        <v>479</v>
      </c>
    </row>
    <row r="939" spans="1:7" ht="18.75">
      <c r="A939" s="700" t="s">
        <v>153</v>
      </c>
      <c r="B939" s="700"/>
      <c r="C939" s="700"/>
      <c r="D939" s="700"/>
      <c r="E939" s="700"/>
      <c r="F939" s="700"/>
      <c r="G939" s="700"/>
    </row>
    <row r="940" spans="1:6" ht="18.75">
      <c r="A940" s="4" t="s">
        <v>138</v>
      </c>
      <c r="E940" s="173"/>
      <c r="F940" s="3"/>
    </row>
    <row r="941" spans="1:7" ht="18.75">
      <c r="A941" s="341" t="s">
        <v>0</v>
      </c>
      <c r="B941" s="342"/>
      <c r="C941" s="342"/>
      <c r="D941" s="342"/>
      <c r="E941" s="344" t="s">
        <v>139</v>
      </c>
      <c r="F941" s="248" t="s">
        <v>40</v>
      </c>
      <c r="G941" s="344" t="s">
        <v>1</v>
      </c>
    </row>
    <row r="942" spans="1:7" ht="18.75">
      <c r="A942" s="144" t="s">
        <v>163</v>
      </c>
      <c r="B942" s="339"/>
      <c r="C942" s="339"/>
      <c r="D942" s="339"/>
      <c r="E942" s="335">
        <v>522000</v>
      </c>
      <c r="F942" s="135">
        <v>1495</v>
      </c>
      <c r="G942" s="135"/>
    </row>
    <row r="943" spans="1:7" ht="18.75">
      <c r="A943" s="136"/>
      <c r="B943" s="124" t="s">
        <v>3</v>
      </c>
      <c r="E943" s="335">
        <v>220400</v>
      </c>
      <c r="F943" s="125"/>
      <c r="G943" s="125">
        <v>415</v>
      </c>
    </row>
    <row r="944" spans="1:7" ht="18.75">
      <c r="A944" s="138"/>
      <c r="B944" s="124" t="s">
        <v>557</v>
      </c>
      <c r="E944" s="146">
        <v>441000</v>
      </c>
      <c r="F944" s="125"/>
      <c r="G944" s="125">
        <v>1080</v>
      </c>
    </row>
    <row r="945" spans="1:7" ht="18.75">
      <c r="A945" s="138"/>
      <c r="B945" s="124"/>
      <c r="E945" s="146"/>
      <c r="F945" s="125"/>
      <c r="G945" s="125"/>
    </row>
    <row r="946" spans="1:7" ht="18.75">
      <c r="A946" s="138"/>
      <c r="B946" s="124"/>
      <c r="E946" s="146"/>
      <c r="F946" s="125"/>
      <c r="G946" s="125"/>
    </row>
    <row r="947" spans="1:7" ht="18.75">
      <c r="A947" s="123"/>
      <c r="B947" s="124"/>
      <c r="E947" s="146"/>
      <c r="F947" s="125"/>
      <c r="G947" s="125"/>
    </row>
    <row r="948" spans="1:7" ht="18.75">
      <c r="A948" s="123"/>
      <c r="B948" s="124"/>
      <c r="E948" s="146"/>
      <c r="F948" s="125"/>
      <c r="G948" s="125"/>
    </row>
    <row r="949" spans="1:7" ht="18.75">
      <c r="A949" s="123"/>
      <c r="B949" s="124"/>
      <c r="E949" s="146"/>
      <c r="F949" s="125"/>
      <c r="G949" s="125"/>
    </row>
    <row r="950" spans="1:7" ht="18.75">
      <c r="A950" s="123"/>
      <c r="B950" s="124"/>
      <c r="E950" s="146"/>
      <c r="F950" s="125"/>
      <c r="G950" s="125"/>
    </row>
    <row r="951" spans="1:7" ht="18.75">
      <c r="A951" s="123"/>
      <c r="B951" s="124"/>
      <c r="E951" s="146"/>
      <c r="F951" s="125"/>
      <c r="G951" s="125"/>
    </row>
    <row r="952" spans="1:7" ht="18.75">
      <c r="A952" s="123"/>
      <c r="B952" s="124"/>
      <c r="E952" s="146"/>
      <c r="F952" s="125"/>
      <c r="G952" s="125"/>
    </row>
    <row r="953" spans="1:7" ht="18.75">
      <c r="A953" s="123"/>
      <c r="B953" s="124"/>
      <c r="E953" s="146"/>
      <c r="F953" s="125"/>
      <c r="G953" s="125"/>
    </row>
    <row r="954" spans="1:7" ht="18.75">
      <c r="A954" s="123"/>
      <c r="B954" s="124"/>
      <c r="E954" s="146"/>
      <c r="F954" s="125"/>
      <c r="G954" s="125"/>
    </row>
    <row r="955" spans="1:7" ht="18.75">
      <c r="A955" s="123"/>
      <c r="B955" s="124"/>
      <c r="E955" s="146"/>
      <c r="F955" s="125"/>
      <c r="G955" s="125"/>
    </row>
    <row r="956" spans="1:7" ht="18.75">
      <c r="A956" s="123"/>
      <c r="B956" s="124"/>
      <c r="E956" s="146"/>
      <c r="F956" s="125"/>
      <c r="G956" s="125"/>
    </row>
    <row r="957" spans="1:7" ht="18.75">
      <c r="A957" s="123"/>
      <c r="B957" s="124"/>
      <c r="E957" s="146"/>
      <c r="F957" s="125"/>
      <c r="G957" s="125"/>
    </row>
    <row r="958" spans="1:7" ht="18.75">
      <c r="A958" s="123"/>
      <c r="B958" s="124"/>
      <c r="E958" s="146"/>
      <c r="F958" s="125"/>
      <c r="G958" s="125"/>
    </row>
    <row r="959" spans="1:7" ht="18.75">
      <c r="A959" s="127"/>
      <c r="B959" s="128"/>
      <c r="C959" s="128"/>
      <c r="D959" s="128"/>
      <c r="E959" s="337"/>
      <c r="F959" s="129"/>
      <c r="G959" s="129"/>
    </row>
    <row r="960" spans="5:7" ht="19.5" thickBot="1">
      <c r="E960" s="173"/>
      <c r="F960" s="130">
        <f>SUM(F942:F959)</f>
        <v>1495</v>
      </c>
      <c r="G960" s="130">
        <f>SUM(G942:G959)</f>
        <v>1495</v>
      </c>
    </row>
    <row r="961" spans="5:7" ht="19.5" thickTop="1">
      <c r="E961" s="173"/>
      <c r="F961" s="3"/>
      <c r="G961" s="3"/>
    </row>
    <row r="962" spans="1:7" ht="18.75">
      <c r="A962" s="4" t="s">
        <v>141</v>
      </c>
      <c r="B962" s="4" t="s">
        <v>558</v>
      </c>
      <c r="E962" s="173"/>
      <c r="F962" s="3"/>
      <c r="G962" s="131"/>
    </row>
    <row r="963" spans="1:7" ht="18.75">
      <c r="A963" s="4"/>
      <c r="B963" s="4" t="s">
        <v>559</v>
      </c>
      <c r="C963" s="4"/>
      <c r="D963" s="4"/>
      <c r="E963" s="340"/>
      <c r="F963" s="105"/>
      <c r="G963" s="105"/>
    </row>
    <row r="964" spans="1:7" ht="18.75">
      <c r="A964" s="4"/>
      <c r="B964" s="4"/>
      <c r="C964" s="4"/>
      <c r="D964" s="4"/>
      <c r="E964" s="340"/>
      <c r="F964" s="105"/>
      <c r="G964" s="105"/>
    </row>
    <row r="965" spans="1:7" ht="18.75">
      <c r="A965" s="693" t="s">
        <v>144</v>
      </c>
      <c r="B965" s="694"/>
      <c r="C965" s="695"/>
      <c r="D965" s="693" t="s">
        <v>143</v>
      </c>
      <c r="E965" s="695"/>
      <c r="F965" s="693" t="s">
        <v>142</v>
      </c>
      <c r="G965" s="695"/>
    </row>
    <row r="966" spans="1:7" ht="18.75">
      <c r="A966" s="123"/>
      <c r="B966" s="124"/>
      <c r="C966" s="126"/>
      <c r="D966" s="123"/>
      <c r="E966" s="336"/>
      <c r="F966" s="249"/>
      <c r="G966" s="126"/>
    </row>
    <row r="967" spans="1:7" ht="18.75">
      <c r="A967" s="696" t="s">
        <v>351</v>
      </c>
      <c r="B967" s="697"/>
      <c r="C967" s="698"/>
      <c r="D967" s="696" t="s">
        <v>33</v>
      </c>
      <c r="E967" s="698"/>
      <c r="F967" s="696" t="str">
        <f>+A967</f>
        <v>(นางสาววรรณา  ผลบุญ)</v>
      </c>
      <c r="G967" s="698"/>
    </row>
    <row r="968" spans="1:7" ht="18.75">
      <c r="A968" s="696" t="s">
        <v>352</v>
      </c>
      <c r="B968" s="697"/>
      <c r="C968" s="698"/>
      <c r="D968" s="696" t="s">
        <v>389</v>
      </c>
      <c r="E968" s="698"/>
      <c r="F968" s="696" t="str">
        <f>+A968</f>
        <v>เจ้าพนักงานการเงินและบัญชี</v>
      </c>
      <c r="G968" s="698"/>
    </row>
    <row r="969" spans="1:7" ht="18.75">
      <c r="A969" s="337"/>
      <c r="B969" s="343"/>
      <c r="C969" s="338"/>
      <c r="D969" s="687" t="s">
        <v>36</v>
      </c>
      <c r="E969" s="688"/>
      <c r="F969" s="250"/>
      <c r="G969" s="338"/>
    </row>
    <row r="970" spans="5:7" ht="18.75">
      <c r="E970" s="173"/>
      <c r="F970" s="3"/>
      <c r="G970" s="118" t="s">
        <v>564</v>
      </c>
    </row>
    <row r="971" spans="5:7" ht="18.75">
      <c r="E971" s="173"/>
      <c r="F971" s="3"/>
      <c r="G971" s="118" t="s">
        <v>479</v>
      </c>
    </row>
    <row r="972" spans="1:7" ht="18.75">
      <c r="A972" s="700" t="s">
        <v>153</v>
      </c>
      <c r="B972" s="700"/>
      <c r="C972" s="700"/>
      <c r="D972" s="700"/>
      <c r="E972" s="700"/>
      <c r="F972" s="700"/>
      <c r="G972" s="700"/>
    </row>
    <row r="973" spans="1:6" ht="18.75">
      <c r="A973" s="4" t="s">
        <v>138</v>
      </c>
      <c r="E973" s="173"/>
      <c r="F973" s="3"/>
    </row>
    <row r="974" spans="1:7" ht="18.75">
      <c r="A974" s="351" t="s">
        <v>0</v>
      </c>
      <c r="B974" s="352"/>
      <c r="C974" s="352"/>
      <c r="D974" s="352"/>
      <c r="E974" s="354" t="s">
        <v>139</v>
      </c>
      <c r="F974" s="248" t="s">
        <v>40</v>
      </c>
      <c r="G974" s="354" t="s">
        <v>1</v>
      </c>
    </row>
    <row r="975" spans="1:7" ht="18.75">
      <c r="A975" s="144" t="s">
        <v>15</v>
      </c>
      <c r="B975" s="348"/>
      <c r="C975" s="348"/>
      <c r="D975" s="348"/>
      <c r="E975" s="349">
        <v>300000</v>
      </c>
      <c r="F975" s="135">
        <v>1777355.52</v>
      </c>
      <c r="G975" s="135"/>
    </row>
    <row r="976" spans="1:8" ht="18.75">
      <c r="A976" s="136"/>
      <c r="B976" s="124" t="s">
        <v>563</v>
      </c>
      <c r="E976" s="349">
        <v>320000</v>
      </c>
      <c r="F976" s="125"/>
      <c r="G976" s="125">
        <f>+F975</f>
        <v>1777355.52</v>
      </c>
      <c r="H976" s="113">
        <f>+'[1]เงินสะสม (5)'!$C$8</f>
        <v>1777355.522500001</v>
      </c>
    </row>
    <row r="977" spans="1:7" ht="18.75">
      <c r="A977" s="138"/>
      <c r="B977" s="124"/>
      <c r="E977" s="146"/>
      <c r="F977" s="125"/>
      <c r="G977" s="125"/>
    </row>
    <row r="978" spans="1:7" ht="18.75">
      <c r="A978" s="138"/>
      <c r="B978" s="124"/>
      <c r="E978" s="146"/>
      <c r="F978" s="125"/>
      <c r="G978" s="125"/>
    </row>
    <row r="979" spans="1:7" ht="18.75">
      <c r="A979" s="138"/>
      <c r="B979" s="124"/>
      <c r="E979" s="146"/>
      <c r="F979" s="125"/>
      <c r="G979" s="125"/>
    </row>
    <row r="980" spans="1:7" ht="18.75">
      <c r="A980" s="123"/>
      <c r="B980" s="124"/>
      <c r="E980" s="146"/>
      <c r="F980" s="125"/>
      <c r="G980" s="125"/>
    </row>
    <row r="981" spans="1:7" ht="18.75">
      <c r="A981" s="123"/>
      <c r="B981" s="124"/>
      <c r="E981" s="146"/>
      <c r="F981" s="125"/>
      <c r="G981" s="125"/>
    </row>
    <row r="982" spans="1:7" ht="18.75">
      <c r="A982" s="123"/>
      <c r="B982" s="124"/>
      <c r="E982" s="146"/>
      <c r="F982" s="125"/>
      <c r="G982" s="125"/>
    </row>
    <row r="983" spans="1:7" ht="18.75">
      <c r="A983" s="123"/>
      <c r="B983" s="124"/>
      <c r="E983" s="146"/>
      <c r="F983" s="125"/>
      <c r="G983" s="125"/>
    </row>
    <row r="984" spans="1:7" ht="18.75">
      <c r="A984" s="123"/>
      <c r="B984" s="124"/>
      <c r="E984" s="146"/>
      <c r="F984" s="125"/>
      <c r="G984" s="125"/>
    </row>
    <row r="985" spans="1:7" ht="18.75">
      <c r="A985" s="123"/>
      <c r="B985" s="124"/>
      <c r="E985" s="146"/>
      <c r="F985" s="125"/>
      <c r="G985" s="125"/>
    </row>
    <row r="986" spans="1:7" ht="18.75">
      <c r="A986" s="123"/>
      <c r="B986" s="124"/>
      <c r="E986" s="146"/>
      <c r="F986" s="125"/>
      <c r="G986" s="125"/>
    </row>
    <row r="987" spans="1:7" ht="18.75">
      <c r="A987" s="123"/>
      <c r="B987" s="124"/>
      <c r="E987" s="146"/>
      <c r="F987" s="125"/>
      <c r="G987" s="125"/>
    </row>
    <row r="988" spans="1:7" ht="18.75">
      <c r="A988" s="123"/>
      <c r="B988" s="124"/>
      <c r="E988" s="146"/>
      <c r="F988" s="125"/>
      <c r="G988" s="125"/>
    </row>
    <row r="989" spans="1:7" ht="18.75">
      <c r="A989" s="123"/>
      <c r="B989" s="124"/>
      <c r="E989" s="146"/>
      <c r="F989" s="125"/>
      <c r="G989" s="125"/>
    </row>
    <row r="990" spans="1:7" ht="18.75">
      <c r="A990" s="123"/>
      <c r="B990" s="124"/>
      <c r="E990" s="146"/>
      <c r="F990" s="125"/>
      <c r="G990" s="125"/>
    </row>
    <row r="991" spans="1:7" ht="18.75">
      <c r="A991" s="123"/>
      <c r="B991" s="124"/>
      <c r="E991" s="146"/>
      <c r="F991" s="125"/>
      <c r="G991" s="125"/>
    </row>
    <row r="992" spans="1:7" ht="18.75">
      <c r="A992" s="127"/>
      <c r="B992" s="128"/>
      <c r="C992" s="128"/>
      <c r="D992" s="128"/>
      <c r="E992" s="345"/>
      <c r="F992" s="129"/>
      <c r="G992" s="129"/>
    </row>
    <row r="993" spans="5:7" ht="19.5" thickBot="1">
      <c r="E993" s="173"/>
      <c r="F993" s="130">
        <f>SUM(F975:F992)</f>
        <v>1777355.52</v>
      </c>
      <c r="G993" s="130">
        <f>SUM(G975:G992)</f>
        <v>1777355.52</v>
      </c>
    </row>
    <row r="994" spans="5:7" ht="19.5" thickTop="1">
      <c r="E994" s="173"/>
      <c r="F994" s="3"/>
      <c r="G994" s="3"/>
    </row>
    <row r="995" spans="1:7" ht="18.75">
      <c r="A995" s="4" t="s">
        <v>141</v>
      </c>
      <c r="B995" s="4" t="s">
        <v>562</v>
      </c>
      <c r="E995" s="173"/>
      <c r="F995" s="3"/>
      <c r="G995" s="131"/>
    </row>
    <row r="996" spans="1:7" ht="18.75">
      <c r="A996" s="4"/>
      <c r="B996" s="4"/>
      <c r="C996" s="4"/>
      <c r="D996" s="4"/>
      <c r="E996" s="347"/>
      <c r="F996" s="105"/>
      <c r="G996" s="105"/>
    </row>
    <row r="997" spans="1:7" ht="18.75">
      <c r="A997" s="4"/>
      <c r="B997" s="4"/>
      <c r="C997" s="4"/>
      <c r="D997" s="4"/>
      <c r="E997" s="347"/>
      <c r="F997" s="105"/>
      <c r="G997" s="105"/>
    </row>
    <row r="998" spans="1:7" ht="18.75">
      <c r="A998" s="693" t="s">
        <v>144</v>
      </c>
      <c r="B998" s="694"/>
      <c r="C998" s="695"/>
      <c r="D998" s="693" t="s">
        <v>143</v>
      </c>
      <c r="E998" s="695"/>
      <c r="F998" s="693" t="s">
        <v>142</v>
      </c>
      <c r="G998" s="695"/>
    </row>
    <row r="999" spans="1:7" ht="18.75">
      <c r="A999" s="123"/>
      <c r="B999" s="124"/>
      <c r="C999" s="126"/>
      <c r="D999" s="123"/>
      <c r="E999" s="350"/>
      <c r="F999" s="249"/>
      <c r="G999" s="126"/>
    </row>
    <row r="1000" spans="1:7" ht="18.75">
      <c r="A1000" s="696" t="s">
        <v>351</v>
      </c>
      <c r="B1000" s="697"/>
      <c r="C1000" s="698"/>
      <c r="D1000" s="696" t="s">
        <v>33</v>
      </c>
      <c r="E1000" s="698"/>
      <c r="F1000" s="696" t="str">
        <f>+A1000</f>
        <v>(นางสาววรรณา  ผลบุญ)</v>
      </c>
      <c r="G1000" s="698"/>
    </row>
    <row r="1001" spans="1:7" ht="18.75">
      <c r="A1001" s="696" t="s">
        <v>352</v>
      </c>
      <c r="B1001" s="697"/>
      <c r="C1001" s="698"/>
      <c r="D1001" s="696" t="s">
        <v>389</v>
      </c>
      <c r="E1001" s="698"/>
      <c r="F1001" s="696" t="str">
        <f>+A1001</f>
        <v>เจ้าพนักงานการเงินและบัญชี</v>
      </c>
      <c r="G1001" s="698"/>
    </row>
    <row r="1002" spans="1:7" ht="18.75">
      <c r="A1002" s="345"/>
      <c r="B1002" s="353"/>
      <c r="C1002" s="346"/>
      <c r="D1002" s="687" t="s">
        <v>36</v>
      </c>
      <c r="E1002" s="688"/>
      <c r="F1002" s="250"/>
      <c r="G1002" s="346"/>
    </row>
    <row r="1003" spans="5:7" ht="18.75">
      <c r="E1003" s="173"/>
      <c r="F1003" s="3"/>
      <c r="G1003" s="118" t="s">
        <v>609</v>
      </c>
    </row>
    <row r="1004" spans="5:7" ht="18.75">
      <c r="E1004" s="173"/>
      <c r="F1004" s="3"/>
      <c r="G1004" s="118" t="s">
        <v>607</v>
      </c>
    </row>
    <row r="1005" spans="1:7" ht="18.75">
      <c r="A1005" s="700" t="s">
        <v>153</v>
      </c>
      <c r="B1005" s="700"/>
      <c r="C1005" s="700"/>
      <c r="D1005" s="700"/>
      <c r="E1005" s="700"/>
      <c r="F1005" s="700"/>
      <c r="G1005" s="700"/>
    </row>
    <row r="1006" spans="1:6" ht="18.75">
      <c r="A1006" s="4" t="s">
        <v>138</v>
      </c>
      <c r="E1006" s="173"/>
      <c r="F1006" s="3"/>
    </row>
    <row r="1007" spans="1:7" ht="18.75">
      <c r="A1007" s="351" t="s">
        <v>0</v>
      </c>
      <c r="B1007" s="352"/>
      <c r="C1007" s="352"/>
      <c r="D1007" s="352"/>
      <c r="E1007" s="354" t="s">
        <v>139</v>
      </c>
      <c r="F1007" s="248" t="s">
        <v>40</v>
      </c>
      <c r="G1007" s="354" t="s">
        <v>1</v>
      </c>
    </row>
    <row r="1008" spans="1:8" ht="18.75">
      <c r="A1008" s="144" t="s">
        <v>15</v>
      </c>
      <c r="B1008" s="348"/>
      <c r="C1008" s="348"/>
      <c r="D1008" s="348"/>
      <c r="E1008" s="349">
        <v>300000</v>
      </c>
      <c r="F1008" s="135">
        <v>268.34</v>
      </c>
      <c r="G1008" s="135"/>
      <c r="H1008" s="2">
        <f>140.48+76.8+140.5</f>
        <v>357.78</v>
      </c>
    </row>
    <row r="1009" spans="1:7" ht="18.75">
      <c r="A1009" s="136" t="s">
        <v>610</v>
      </c>
      <c r="B1009" s="440"/>
      <c r="C1009" s="440"/>
      <c r="D1009" s="440"/>
      <c r="E1009" s="437">
        <v>320000</v>
      </c>
      <c r="F1009" s="137">
        <v>89.44</v>
      </c>
      <c r="G1009" s="137"/>
    </row>
    <row r="1010" spans="1:7" ht="18.75">
      <c r="A1010" s="136"/>
      <c r="B1010" s="124" t="s">
        <v>57</v>
      </c>
      <c r="E1010" s="349">
        <v>300000</v>
      </c>
      <c r="F1010" s="125"/>
      <c r="G1010" s="125">
        <f>SUM(F1008:F1009)</f>
        <v>357.78</v>
      </c>
    </row>
    <row r="1011" spans="1:7" ht="18.75">
      <c r="A1011" s="138"/>
      <c r="B1011" s="124"/>
      <c r="E1011" s="146"/>
      <c r="F1011" s="125"/>
      <c r="G1011" s="125"/>
    </row>
    <row r="1012" spans="1:7" ht="18.75">
      <c r="A1012" s="138"/>
      <c r="B1012" s="124"/>
      <c r="E1012" s="146"/>
      <c r="F1012" s="125"/>
      <c r="G1012" s="125"/>
    </row>
    <row r="1013" spans="1:7" ht="18.75">
      <c r="A1013" s="138"/>
      <c r="B1013" s="124"/>
      <c r="E1013" s="146"/>
      <c r="F1013" s="125"/>
      <c r="G1013" s="125"/>
    </row>
    <row r="1014" spans="1:7" ht="18.75">
      <c r="A1014" s="123"/>
      <c r="B1014" s="124"/>
      <c r="E1014" s="146"/>
      <c r="F1014" s="125"/>
      <c r="G1014" s="125"/>
    </row>
    <row r="1015" spans="1:7" ht="18.75">
      <c r="A1015" s="123"/>
      <c r="B1015" s="124"/>
      <c r="E1015" s="146"/>
      <c r="F1015" s="125"/>
      <c r="G1015" s="125"/>
    </row>
    <row r="1016" spans="1:7" ht="18.75">
      <c r="A1016" s="123"/>
      <c r="B1016" s="124"/>
      <c r="E1016" s="146"/>
      <c r="F1016" s="125"/>
      <c r="G1016" s="125"/>
    </row>
    <row r="1017" spans="1:7" ht="18.75">
      <c r="A1017" s="123"/>
      <c r="B1017" s="124"/>
      <c r="E1017" s="146"/>
      <c r="F1017" s="125"/>
      <c r="G1017" s="125"/>
    </row>
    <row r="1018" spans="1:7" ht="18.75">
      <c r="A1018" s="123"/>
      <c r="B1018" s="124"/>
      <c r="E1018" s="146"/>
      <c r="F1018" s="125"/>
      <c r="G1018" s="125"/>
    </row>
    <row r="1019" spans="1:7" ht="18.75">
      <c r="A1019" s="123"/>
      <c r="B1019" s="124"/>
      <c r="E1019" s="146"/>
      <c r="F1019" s="125"/>
      <c r="G1019" s="125"/>
    </row>
    <row r="1020" spans="1:7" ht="18.75">
      <c r="A1020" s="123"/>
      <c r="B1020" s="124"/>
      <c r="E1020" s="146"/>
      <c r="F1020" s="125"/>
      <c r="G1020" s="125"/>
    </row>
    <row r="1021" spans="1:7" ht="18.75">
      <c r="A1021" s="123"/>
      <c r="B1021" s="124"/>
      <c r="E1021" s="146"/>
      <c r="F1021" s="125"/>
      <c r="G1021" s="125"/>
    </row>
    <row r="1022" spans="1:7" ht="18.75">
      <c r="A1022" s="123"/>
      <c r="B1022" s="124"/>
      <c r="E1022" s="146"/>
      <c r="F1022" s="125"/>
      <c r="G1022" s="125"/>
    </row>
    <row r="1023" spans="1:7" ht="18.75">
      <c r="A1023" s="123"/>
      <c r="B1023" s="124"/>
      <c r="E1023" s="146"/>
      <c r="F1023" s="125"/>
      <c r="G1023" s="125"/>
    </row>
    <row r="1024" spans="1:7" ht="18.75">
      <c r="A1024" s="123"/>
      <c r="B1024" s="124"/>
      <c r="E1024" s="146"/>
      <c r="F1024" s="125"/>
      <c r="G1024" s="125"/>
    </row>
    <row r="1025" spans="1:7" ht="18.75">
      <c r="A1025" s="127"/>
      <c r="B1025" s="128"/>
      <c r="C1025" s="128"/>
      <c r="D1025" s="128"/>
      <c r="E1025" s="345"/>
      <c r="F1025" s="129"/>
      <c r="G1025" s="129"/>
    </row>
    <row r="1026" spans="5:7" ht="19.5" thickBot="1">
      <c r="E1026" s="173"/>
      <c r="F1026" s="130">
        <f>SUM(F1008:F1025)</f>
        <v>357.78</v>
      </c>
      <c r="G1026" s="130">
        <f>SUM(G1008:G1025)</f>
        <v>357.78</v>
      </c>
    </row>
    <row r="1027" spans="5:7" ht="19.5" thickTop="1">
      <c r="E1027" s="173"/>
      <c r="F1027" s="3"/>
      <c r="G1027" s="3"/>
    </row>
    <row r="1028" spans="1:7" ht="18.75">
      <c r="A1028" s="4" t="s">
        <v>141</v>
      </c>
      <c r="B1028" s="4" t="s">
        <v>608</v>
      </c>
      <c r="E1028" s="173"/>
      <c r="F1028" s="3"/>
      <c r="G1028" s="131"/>
    </row>
    <row r="1029" spans="1:7" ht="18.75">
      <c r="A1029" s="4" t="s">
        <v>565</v>
      </c>
      <c r="B1029" s="4"/>
      <c r="C1029" s="4"/>
      <c r="D1029" s="4"/>
      <c r="E1029" s="347"/>
      <c r="F1029" s="105"/>
      <c r="G1029" s="105"/>
    </row>
    <row r="1030" spans="1:7" ht="18.75">
      <c r="A1030" s="4"/>
      <c r="B1030" s="4"/>
      <c r="C1030" s="4"/>
      <c r="D1030" s="4"/>
      <c r="E1030" s="347"/>
      <c r="F1030" s="105"/>
      <c r="G1030" s="105"/>
    </row>
    <row r="1031" spans="1:7" ht="18.75">
      <c r="A1031" s="693" t="s">
        <v>144</v>
      </c>
      <c r="B1031" s="694"/>
      <c r="C1031" s="695"/>
      <c r="D1031" s="693" t="s">
        <v>143</v>
      </c>
      <c r="E1031" s="695"/>
      <c r="F1031" s="693" t="s">
        <v>142</v>
      </c>
      <c r="G1031" s="695"/>
    </row>
    <row r="1032" spans="1:7" ht="18.75">
      <c r="A1032" s="123"/>
      <c r="B1032" s="124"/>
      <c r="C1032" s="126"/>
      <c r="D1032" s="123"/>
      <c r="E1032" s="350"/>
      <c r="F1032" s="249"/>
      <c r="G1032" s="126"/>
    </row>
    <row r="1033" spans="1:7" ht="18.75">
      <c r="A1033" s="696" t="s">
        <v>351</v>
      </c>
      <c r="B1033" s="697"/>
      <c r="C1033" s="698"/>
      <c r="D1033" s="696" t="s">
        <v>33</v>
      </c>
      <c r="E1033" s="698"/>
      <c r="F1033" s="696" t="str">
        <f>+A1033</f>
        <v>(นางสาววรรณา  ผลบุญ)</v>
      </c>
      <c r="G1033" s="698"/>
    </row>
    <row r="1034" spans="1:7" ht="18.75">
      <c r="A1034" s="696" t="s">
        <v>570</v>
      </c>
      <c r="B1034" s="697"/>
      <c r="C1034" s="698"/>
      <c r="D1034" s="696" t="s">
        <v>389</v>
      </c>
      <c r="E1034" s="698"/>
      <c r="F1034" s="696" t="str">
        <f>+A1034</f>
        <v>นักวิชาการเงินและบัญชี</v>
      </c>
      <c r="G1034" s="698"/>
    </row>
    <row r="1035" spans="1:7" ht="18.75">
      <c r="A1035" s="345"/>
      <c r="B1035" s="353"/>
      <c r="C1035" s="346"/>
      <c r="D1035" s="687" t="s">
        <v>36</v>
      </c>
      <c r="E1035" s="688"/>
      <c r="F1035" s="250"/>
      <c r="G1035" s="346"/>
    </row>
    <row r="1036" ht="18.75">
      <c r="G1036" s="118" t="s">
        <v>566</v>
      </c>
    </row>
    <row r="1037" ht="18.75">
      <c r="G1037" s="118" t="s">
        <v>479</v>
      </c>
    </row>
    <row r="1038" spans="1:7" ht="18.75">
      <c r="A1038" s="700" t="s">
        <v>153</v>
      </c>
      <c r="B1038" s="700"/>
      <c r="C1038" s="700"/>
      <c r="D1038" s="700"/>
      <c r="E1038" s="700"/>
      <c r="F1038" s="700"/>
      <c r="G1038" s="700"/>
    </row>
    <row r="1039" ht="18.75">
      <c r="A1039" s="4" t="s">
        <v>138</v>
      </c>
    </row>
    <row r="1040" spans="1:7" ht="18.75">
      <c r="A1040" s="357" t="s">
        <v>0</v>
      </c>
      <c r="B1040" s="358"/>
      <c r="C1040" s="358"/>
      <c r="D1040" s="358"/>
      <c r="E1040" s="359" t="s">
        <v>139</v>
      </c>
      <c r="F1040" s="359" t="s">
        <v>40</v>
      </c>
      <c r="G1040" s="359" t="s">
        <v>1</v>
      </c>
    </row>
    <row r="1041" spans="1:7" ht="18.75">
      <c r="A1041" s="144" t="s">
        <v>10</v>
      </c>
      <c r="B1041" s="355"/>
      <c r="C1041" s="355"/>
      <c r="D1041" s="355"/>
      <c r="E1041" s="356">
        <v>542000</v>
      </c>
      <c r="F1041" s="135">
        <v>186000</v>
      </c>
      <c r="G1041" s="135"/>
    </row>
    <row r="1042" spans="1:7" ht="18.75">
      <c r="A1042" s="136"/>
      <c r="B1042" s="124" t="s">
        <v>14</v>
      </c>
      <c r="E1042" s="356">
        <v>210400</v>
      </c>
      <c r="F1042" s="145"/>
      <c r="G1042" s="125">
        <f>+F1041</f>
        <v>186000</v>
      </c>
    </row>
    <row r="1043" spans="1:7" ht="18.75">
      <c r="A1043" s="138"/>
      <c r="B1043" s="124"/>
      <c r="E1043" s="146"/>
      <c r="F1043" s="145"/>
      <c r="G1043" s="125"/>
    </row>
    <row r="1044" spans="1:7" ht="18.75">
      <c r="A1044" s="138"/>
      <c r="B1044" s="124"/>
      <c r="E1044" s="145"/>
      <c r="F1044" s="145"/>
      <c r="G1044" s="125"/>
    </row>
    <row r="1045" spans="1:7" ht="18.75">
      <c r="A1045" s="138"/>
      <c r="B1045" s="124"/>
      <c r="E1045" s="145"/>
      <c r="F1045" s="145"/>
      <c r="G1045" s="125"/>
    </row>
    <row r="1046" spans="1:7" ht="18.75">
      <c r="A1046" s="123"/>
      <c r="B1046" s="124"/>
      <c r="E1046" s="145"/>
      <c r="F1046" s="145"/>
      <c r="G1046" s="125"/>
    </row>
    <row r="1047" spans="1:7" ht="18.75">
      <c r="A1047" s="123"/>
      <c r="B1047" s="124"/>
      <c r="E1047" s="145"/>
      <c r="F1047" s="145"/>
      <c r="G1047" s="125"/>
    </row>
    <row r="1048" spans="1:7" ht="18.75">
      <c r="A1048" s="123"/>
      <c r="B1048" s="124"/>
      <c r="E1048" s="145"/>
      <c r="F1048" s="145"/>
      <c r="G1048" s="125"/>
    </row>
    <row r="1049" spans="1:7" ht="18.75">
      <c r="A1049" s="123"/>
      <c r="B1049" s="124"/>
      <c r="E1049" s="145"/>
      <c r="F1049" s="145"/>
      <c r="G1049" s="125"/>
    </row>
    <row r="1050" spans="1:7" ht="18.75">
      <c r="A1050" s="123"/>
      <c r="B1050" s="124"/>
      <c r="E1050" s="145"/>
      <c r="F1050" s="145"/>
      <c r="G1050" s="125"/>
    </row>
    <row r="1051" spans="1:7" ht="18.75">
      <c r="A1051" s="123"/>
      <c r="B1051" s="124"/>
      <c r="E1051" s="145"/>
      <c r="F1051" s="145"/>
      <c r="G1051" s="125"/>
    </row>
    <row r="1052" spans="1:7" ht="18.75">
      <c r="A1052" s="123"/>
      <c r="B1052" s="124"/>
      <c r="E1052" s="145"/>
      <c r="F1052" s="145"/>
      <c r="G1052" s="125"/>
    </row>
    <row r="1053" spans="1:7" ht="18.75">
      <c r="A1053" s="123"/>
      <c r="B1053" s="124"/>
      <c r="E1053" s="145"/>
      <c r="F1053" s="145"/>
      <c r="G1053" s="125"/>
    </row>
    <row r="1054" spans="1:7" ht="18.75">
      <c r="A1054" s="123"/>
      <c r="B1054" s="124"/>
      <c r="E1054" s="145"/>
      <c r="F1054" s="145"/>
      <c r="G1054" s="125"/>
    </row>
    <row r="1055" spans="1:7" ht="18.75">
      <c r="A1055" s="123"/>
      <c r="B1055" s="124"/>
      <c r="E1055" s="145"/>
      <c r="F1055" s="145"/>
      <c r="G1055" s="125"/>
    </row>
    <row r="1056" spans="1:7" ht="18.75">
      <c r="A1056" s="123"/>
      <c r="B1056" s="124"/>
      <c r="E1056" s="145"/>
      <c r="F1056" s="145"/>
      <c r="G1056" s="125"/>
    </row>
    <row r="1057" spans="1:7" ht="18.75">
      <c r="A1057" s="127"/>
      <c r="B1057" s="128"/>
      <c r="C1057" s="128"/>
      <c r="D1057" s="128"/>
      <c r="E1057" s="127"/>
      <c r="F1057" s="129"/>
      <c r="G1057" s="129"/>
    </row>
    <row r="1058" spans="6:7" ht="19.5" thickBot="1">
      <c r="F1058" s="130">
        <f>SUM(F1041:F1057)</f>
        <v>186000</v>
      </c>
      <c r="G1058" s="130">
        <f>SUM(G1041:G1057)</f>
        <v>186000</v>
      </c>
    </row>
    <row r="1059" spans="6:7" ht="19.5" thickTop="1">
      <c r="F1059" s="3"/>
      <c r="G1059" s="3"/>
    </row>
    <row r="1060" spans="1:7" ht="18.75">
      <c r="A1060" s="4" t="s">
        <v>141</v>
      </c>
      <c r="B1060" s="4" t="s">
        <v>501</v>
      </c>
      <c r="E1060" s="173"/>
      <c r="F1060" s="3"/>
      <c r="G1060" s="131"/>
    </row>
    <row r="1061" spans="2:7" ht="18.75">
      <c r="B1061" s="4" t="s">
        <v>568</v>
      </c>
      <c r="E1061" s="173"/>
      <c r="F1061" s="3"/>
      <c r="G1061" s="3"/>
    </row>
    <row r="1062" spans="1:7" ht="18.75">
      <c r="A1062" s="4"/>
      <c r="B1062" s="4" t="s">
        <v>567</v>
      </c>
      <c r="F1062" s="3"/>
      <c r="G1062" s="3"/>
    </row>
    <row r="1063" spans="1:7" ht="18.75">
      <c r="A1063" s="693" t="s">
        <v>144</v>
      </c>
      <c r="B1063" s="694"/>
      <c r="C1063" s="695"/>
      <c r="D1063" s="692" t="s">
        <v>143</v>
      </c>
      <c r="E1063" s="692"/>
      <c r="F1063" s="692" t="s">
        <v>142</v>
      </c>
      <c r="G1063" s="692"/>
    </row>
    <row r="1064" spans="1:7" ht="18.75">
      <c r="A1064" s="123"/>
      <c r="B1064" s="124"/>
      <c r="C1064" s="126"/>
      <c r="D1064" s="123"/>
      <c r="E1064" s="126"/>
      <c r="F1064" s="123"/>
      <c r="G1064" s="126"/>
    </row>
    <row r="1065" spans="1:7" ht="18.75">
      <c r="A1065" s="696" t="s">
        <v>351</v>
      </c>
      <c r="B1065" s="697"/>
      <c r="C1065" s="698"/>
      <c r="D1065" s="696" t="s">
        <v>33</v>
      </c>
      <c r="E1065" s="698"/>
      <c r="F1065" s="696" t="str">
        <f>+A1065</f>
        <v>(นางสาววรรณา  ผลบุญ)</v>
      </c>
      <c r="G1065" s="698"/>
    </row>
    <row r="1066" spans="1:7" ht="18.75">
      <c r="A1066" s="696" t="s">
        <v>352</v>
      </c>
      <c r="B1066" s="697"/>
      <c r="C1066" s="698"/>
      <c r="D1066" s="696" t="s">
        <v>389</v>
      </c>
      <c r="E1066" s="698"/>
      <c r="F1066" s="696" t="str">
        <f>+A1066</f>
        <v>เจ้าพนักงานการเงินและบัญชี</v>
      </c>
      <c r="G1066" s="698"/>
    </row>
    <row r="1067" spans="1:7" ht="18.75">
      <c r="A1067" s="127"/>
      <c r="B1067" s="128"/>
      <c r="C1067" s="133"/>
      <c r="D1067" s="687" t="s">
        <v>36</v>
      </c>
      <c r="E1067" s="688"/>
      <c r="F1067" s="127"/>
      <c r="G1067" s="133"/>
    </row>
    <row r="1068" ht="18.75">
      <c r="G1068" s="118" t="s">
        <v>566</v>
      </c>
    </row>
    <row r="1069" ht="18.75">
      <c r="G1069" s="118" t="s">
        <v>479</v>
      </c>
    </row>
    <row r="1070" spans="1:7" ht="18.75">
      <c r="A1070" s="700" t="s">
        <v>153</v>
      </c>
      <c r="B1070" s="700"/>
      <c r="C1070" s="700"/>
      <c r="D1070" s="700"/>
      <c r="E1070" s="700"/>
      <c r="F1070" s="700"/>
      <c r="G1070" s="700"/>
    </row>
    <row r="1071" ht="18.75">
      <c r="A1071" s="4" t="s">
        <v>138</v>
      </c>
    </row>
    <row r="1072" spans="1:7" ht="18.75">
      <c r="A1072" s="377" t="s">
        <v>0</v>
      </c>
      <c r="B1072" s="378"/>
      <c r="C1072" s="378"/>
      <c r="D1072" s="378"/>
      <c r="E1072" s="379" t="s">
        <v>139</v>
      </c>
      <c r="F1072" s="379" t="s">
        <v>40</v>
      </c>
      <c r="G1072" s="379" t="s">
        <v>1</v>
      </c>
    </row>
    <row r="1073" spans="1:7" ht="18.75">
      <c r="A1073" s="144" t="s">
        <v>10</v>
      </c>
      <c r="B1073" s="375"/>
      <c r="C1073" s="375"/>
      <c r="D1073" s="375"/>
      <c r="E1073" s="376">
        <v>542000</v>
      </c>
      <c r="F1073" s="135">
        <v>186000</v>
      </c>
      <c r="G1073" s="135"/>
    </row>
    <row r="1074" spans="1:7" ht="18.75">
      <c r="A1074" s="136"/>
      <c r="B1074" s="124" t="s">
        <v>14</v>
      </c>
      <c r="E1074" s="376">
        <v>210400</v>
      </c>
      <c r="F1074" s="145"/>
      <c r="G1074" s="125">
        <f>+F1073</f>
        <v>186000</v>
      </c>
    </row>
    <row r="1075" spans="1:7" ht="18.75">
      <c r="A1075" s="138"/>
      <c r="B1075" s="124"/>
      <c r="E1075" s="146"/>
      <c r="F1075" s="145"/>
      <c r="G1075" s="125"/>
    </row>
    <row r="1076" spans="1:7" ht="18.75">
      <c r="A1076" s="138"/>
      <c r="B1076" s="124"/>
      <c r="E1076" s="145"/>
      <c r="F1076" s="145"/>
      <c r="G1076" s="125"/>
    </row>
    <row r="1077" spans="1:7" ht="18.75">
      <c r="A1077" s="138"/>
      <c r="B1077" s="124"/>
      <c r="E1077" s="145"/>
      <c r="F1077" s="145"/>
      <c r="G1077" s="125"/>
    </row>
    <row r="1078" spans="1:7" ht="18.75">
      <c r="A1078" s="123"/>
      <c r="B1078" s="124"/>
      <c r="E1078" s="145"/>
      <c r="F1078" s="145"/>
      <c r="G1078" s="125"/>
    </row>
    <row r="1079" spans="1:7" ht="18.75">
      <c r="A1079" s="123"/>
      <c r="B1079" s="124"/>
      <c r="E1079" s="145"/>
      <c r="F1079" s="145"/>
      <c r="G1079" s="125"/>
    </row>
    <row r="1080" spans="1:7" ht="18.75">
      <c r="A1080" s="123"/>
      <c r="B1080" s="124"/>
      <c r="E1080" s="145"/>
      <c r="F1080" s="145"/>
      <c r="G1080" s="125"/>
    </row>
    <row r="1081" spans="1:7" ht="18.75">
      <c r="A1081" s="123"/>
      <c r="B1081" s="124"/>
      <c r="E1081" s="145"/>
      <c r="F1081" s="145"/>
      <c r="G1081" s="125"/>
    </row>
    <row r="1082" spans="1:7" ht="18.75">
      <c r="A1082" s="123"/>
      <c r="B1082" s="124"/>
      <c r="E1082" s="145"/>
      <c r="F1082" s="145"/>
      <c r="G1082" s="125"/>
    </row>
    <row r="1083" spans="1:7" ht="18.75">
      <c r="A1083" s="123"/>
      <c r="B1083" s="124"/>
      <c r="E1083" s="145"/>
      <c r="F1083" s="145"/>
      <c r="G1083" s="125"/>
    </row>
    <row r="1084" spans="1:7" ht="18.75">
      <c r="A1084" s="123"/>
      <c r="B1084" s="124"/>
      <c r="E1084" s="145"/>
      <c r="F1084" s="145"/>
      <c r="G1084" s="125"/>
    </row>
    <row r="1085" spans="1:7" ht="18.75">
      <c r="A1085" s="123"/>
      <c r="B1085" s="124"/>
      <c r="E1085" s="145"/>
      <c r="F1085" s="145"/>
      <c r="G1085" s="125"/>
    </row>
    <row r="1086" spans="1:7" ht="18.75">
      <c r="A1086" s="123"/>
      <c r="B1086" s="124"/>
      <c r="E1086" s="145"/>
      <c r="F1086" s="145"/>
      <c r="G1086" s="125"/>
    </row>
    <row r="1087" spans="1:7" ht="18.75">
      <c r="A1087" s="123"/>
      <c r="B1087" s="124"/>
      <c r="E1087" s="145"/>
      <c r="F1087" s="145"/>
      <c r="G1087" s="125"/>
    </row>
    <row r="1088" spans="1:7" ht="18.75">
      <c r="A1088" s="123"/>
      <c r="B1088" s="124"/>
      <c r="E1088" s="145"/>
      <c r="F1088" s="145"/>
      <c r="G1088" s="125"/>
    </row>
    <row r="1089" spans="1:7" ht="18.75">
      <c r="A1089" s="127"/>
      <c r="B1089" s="128"/>
      <c r="C1089" s="128"/>
      <c r="D1089" s="128"/>
      <c r="E1089" s="127"/>
      <c r="F1089" s="129"/>
      <c r="G1089" s="129"/>
    </row>
    <row r="1090" spans="6:7" ht="19.5" thickBot="1">
      <c r="F1090" s="130">
        <f>SUM(F1073:F1089)</f>
        <v>186000</v>
      </c>
      <c r="G1090" s="130">
        <f>SUM(G1073:G1089)</f>
        <v>186000</v>
      </c>
    </row>
    <row r="1091" spans="6:7" ht="19.5" thickTop="1">
      <c r="F1091" s="3"/>
      <c r="G1091" s="3"/>
    </row>
    <row r="1092" spans="1:7" ht="18.75">
      <c r="A1092" s="4" t="s">
        <v>141</v>
      </c>
      <c r="B1092" s="4" t="s">
        <v>501</v>
      </c>
      <c r="E1092" s="173"/>
      <c r="F1092" s="3"/>
      <c r="G1092" s="131"/>
    </row>
    <row r="1093" spans="2:7" ht="18.75">
      <c r="B1093" s="4" t="s">
        <v>568</v>
      </c>
      <c r="E1093" s="173"/>
      <c r="F1093" s="3"/>
      <c r="G1093" s="3"/>
    </row>
    <row r="1094" spans="1:7" ht="18.75">
      <c r="A1094" s="4"/>
      <c r="B1094" s="4" t="s">
        <v>567</v>
      </c>
      <c r="F1094" s="3"/>
      <c r="G1094" s="3"/>
    </row>
    <row r="1095" spans="1:7" ht="18.75">
      <c r="A1095" s="693" t="s">
        <v>144</v>
      </c>
      <c r="B1095" s="694"/>
      <c r="C1095" s="695"/>
      <c r="D1095" s="692" t="s">
        <v>143</v>
      </c>
      <c r="E1095" s="692"/>
      <c r="F1095" s="692" t="s">
        <v>142</v>
      </c>
      <c r="G1095" s="692"/>
    </row>
    <row r="1096" spans="1:7" ht="18.75">
      <c r="A1096" s="123"/>
      <c r="B1096" s="124"/>
      <c r="C1096" s="126"/>
      <c r="D1096" s="123"/>
      <c r="E1096" s="126"/>
      <c r="F1096" s="123"/>
      <c r="G1096" s="126"/>
    </row>
    <row r="1097" spans="1:7" ht="18.75">
      <c r="A1097" s="696" t="s">
        <v>351</v>
      </c>
      <c r="B1097" s="697"/>
      <c r="C1097" s="698"/>
      <c r="D1097" s="696" t="s">
        <v>33</v>
      </c>
      <c r="E1097" s="698"/>
      <c r="F1097" s="696" t="str">
        <f>+A1097</f>
        <v>(นางสาววรรณา  ผลบุญ)</v>
      </c>
      <c r="G1097" s="698"/>
    </row>
    <row r="1098" spans="1:7" ht="18.75">
      <c r="A1098" s="696" t="s">
        <v>352</v>
      </c>
      <c r="B1098" s="697"/>
      <c r="C1098" s="698"/>
      <c r="D1098" s="696" t="s">
        <v>389</v>
      </c>
      <c r="E1098" s="698"/>
      <c r="F1098" s="696" t="str">
        <f>+A1098</f>
        <v>เจ้าพนักงานการเงินและบัญชี</v>
      </c>
      <c r="G1098" s="698"/>
    </row>
    <row r="1099" spans="1:7" ht="18.75">
      <c r="A1099" s="127"/>
      <c r="B1099" s="128"/>
      <c r="C1099" s="133"/>
      <c r="D1099" s="687" t="s">
        <v>36</v>
      </c>
      <c r="E1099" s="688"/>
      <c r="F1099" s="127"/>
      <c r="G1099" s="133"/>
    </row>
    <row r="1100" ht="18.75">
      <c r="G1100" s="118" t="s">
        <v>581</v>
      </c>
    </row>
    <row r="1101" ht="18.75">
      <c r="G1101" s="118" t="s">
        <v>579</v>
      </c>
    </row>
    <row r="1102" spans="1:7" ht="18.75">
      <c r="A1102" s="700" t="s">
        <v>153</v>
      </c>
      <c r="B1102" s="700"/>
      <c r="C1102" s="700"/>
      <c r="D1102" s="700"/>
      <c r="E1102" s="700"/>
      <c r="F1102" s="700"/>
      <c r="G1102" s="700"/>
    </row>
    <row r="1103" ht="18.75">
      <c r="A1103" s="4" t="s">
        <v>138</v>
      </c>
    </row>
    <row r="1104" spans="1:7" ht="18.75">
      <c r="A1104" s="689" t="s">
        <v>0</v>
      </c>
      <c r="B1104" s="690"/>
      <c r="C1104" s="690"/>
      <c r="D1104" s="690"/>
      <c r="E1104" s="389" t="s">
        <v>139</v>
      </c>
      <c r="F1104" s="389" t="s">
        <v>40</v>
      </c>
      <c r="G1104" s="389" t="s">
        <v>1</v>
      </c>
    </row>
    <row r="1105" spans="1:7" ht="18.75">
      <c r="A1105" s="123" t="s">
        <v>582</v>
      </c>
      <c r="B1105" s="120"/>
      <c r="C1105" s="120"/>
      <c r="D1105" s="120"/>
      <c r="E1105" s="381">
        <v>110201</v>
      </c>
      <c r="F1105" s="122">
        <v>10000000</v>
      </c>
      <c r="G1105" s="122"/>
    </row>
    <row r="1106" spans="1:7" ht="18.75">
      <c r="A1106" s="123"/>
      <c r="B1106" s="124" t="s">
        <v>326</v>
      </c>
      <c r="C1106" s="124"/>
      <c r="D1106" s="124"/>
      <c r="E1106" s="381">
        <v>110201</v>
      </c>
      <c r="F1106" s="125"/>
      <c r="G1106" s="125">
        <f>+F1105</f>
        <v>10000000</v>
      </c>
    </row>
    <row r="1107" spans="1:7" ht="18.75">
      <c r="A1107" s="123"/>
      <c r="B1107" s="124"/>
      <c r="C1107" s="124"/>
      <c r="D1107" s="126"/>
      <c r="F1107" s="381"/>
      <c r="G1107" s="125"/>
    </row>
    <row r="1108" spans="1:7" ht="18.75">
      <c r="A1108" s="123"/>
      <c r="B1108" s="124"/>
      <c r="C1108" s="124"/>
      <c r="D1108" s="124"/>
      <c r="E1108" s="381"/>
      <c r="F1108" s="125"/>
      <c r="G1108" s="125"/>
    </row>
    <row r="1109" spans="1:7" ht="18.75">
      <c r="A1109" s="123"/>
      <c r="B1109" s="124"/>
      <c r="C1109" s="124"/>
      <c r="D1109" s="124"/>
      <c r="E1109" s="381"/>
      <c r="F1109" s="125"/>
      <c r="G1109" s="145"/>
    </row>
    <row r="1110" spans="1:7" ht="18.75">
      <c r="A1110" s="123"/>
      <c r="B1110" s="124"/>
      <c r="C1110" s="124"/>
      <c r="D1110" s="124"/>
      <c r="E1110" s="381"/>
      <c r="F1110" s="125"/>
      <c r="G1110" s="125"/>
    </row>
    <row r="1111" spans="1:7" ht="18.75">
      <c r="A1111" s="123"/>
      <c r="B1111" s="124"/>
      <c r="C1111" s="124"/>
      <c r="D1111" s="124"/>
      <c r="E1111" s="381"/>
      <c r="F1111" s="125"/>
      <c r="G1111" s="125"/>
    </row>
    <row r="1112" spans="1:7" ht="18.75">
      <c r="A1112" s="123"/>
      <c r="B1112" s="124"/>
      <c r="C1112" s="124"/>
      <c r="D1112" s="124"/>
      <c r="E1112" s="381"/>
      <c r="F1112" s="125"/>
      <c r="G1112" s="125"/>
    </row>
    <row r="1113" spans="1:7" ht="18.75">
      <c r="A1113" s="123"/>
      <c r="B1113" s="124"/>
      <c r="C1113" s="124"/>
      <c r="D1113" s="124"/>
      <c r="E1113" s="381"/>
      <c r="F1113" s="125"/>
      <c r="G1113" s="125"/>
    </row>
    <row r="1114" spans="1:7" ht="18.75">
      <c r="A1114" s="123"/>
      <c r="B1114" s="124"/>
      <c r="C1114" s="124"/>
      <c r="D1114" s="124"/>
      <c r="E1114" s="381"/>
      <c r="F1114" s="125"/>
      <c r="G1114" s="125"/>
    </row>
    <row r="1115" spans="1:7" ht="18.75">
      <c r="A1115" s="123"/>
      <c r="B1115" s="124"/>
      <c r="C1115" s="124"/>
      <c r="D1115" s="124"/>
      <c r="E1115" s="381"/>
      <c r="F1115" s="125"/>
      <c r="G1115" s="125"/>
    </row>
    <row r="1116" spans="1:7" ht="18.75">
      <c r="A1116" s="123"/>
      <c r="B1116" s="124"/>
      <c r="C1116" s="124"/>
      <c r="D1116" s="124"/>
      <c r="E1116" s="381"/>
      <c r="F1116" s="125"/>
      <c r="G1116" s="125"/>
    </row>
    <row r="1117" spans="1:7" ht="18.75">
      <c r="A1117" s="123"/>
      <c r="B1117" s="124"/>
      <c r="C1117" s="124"/>
      <c r="D1117" s="124"/>
      <c r="E1117" s="381"/>
      <c r="F1117" s="125"/>
      <c r="G1117" s="125"/>
    </row>
    <row r="1118" spans="1:7" ht="18.75">
      <c r="A1118" s="123"/>
      <c r="B1118" s="124"/>
      <c r="C1118" s="124"/>
      <c r="D1118" s="124"/>
      <c r="E1118" s="381"/>
      <c r="F1118" s="125"/>
      <c r="G1118" s="125"/>
    </row>
    <row r="1119" spans="1:7" ht="18.75">
      <c r="A1119" s="123"/>
      <c r="B1119" s="124"/>
      <c r="C1119" s="124"/>
      <c r="D1119" s="124"/>
      <c r="E1119" s="123"/>
      <c r="F1119" s="125"/>
      <c r="G1119" s="125"/>
    </row>
    <row r="1120" spans="1:7" ht="18.75">
      <c r="A1120" s="123"/>
      <c r="B1120" s="124"/>
      <c r="C1120" s="124"/>
      <c r="D1120" s="124"/>
      <c r="E1120" s="123"/>
      <c r="F1120" s="125"/>
      <c r="G1120" s="125"/>
    </row>
    <row r="1121" spans="1:7" ht="18.75">
      <c r="A1121" s="123"/>
      <c r="B1121" s="124"/>
      <c r="C1121" s="124"/>
      <c r="D1121" s="124"/>
      <c r="E1121" s="123"/>
      <c r="F1121" s="125"/>
      <c r="G1121" s="125"/>
    </row>
    <row r="1122" spans="1:7" ht="18.75">
      <c r="A1122" s="123"/>
      <c r="B1122" s="124"/>
      <c r="C1122" s="124"/>
      <c r="D1122" s="124"/>
      <c r="E1122" s="123"/>
      <c r="F1122" s="125"/>
      <c r="G1122" s="125"/>
    </row>
    <row r="1123" spans="1:7" ht="18.75">
      <c r="A1123" s="123"/>
      <c r="B1123" s="124"/>
      <c r="C1123" s="124"/>
      <c r="D1123" s="124"/>
      <c r="E1123" s="123"/>
      <c r="F1123" s="125"/>
      <c r="G1123" s="125"/>
    </row>
    <row r="1124" spans="1:7" ht="18.75">
      <c r="A1124" s="127"/>
      <c r="B1124" s="128"/>
      <c r="C1124" s="128"/>
      <c r="D1124" s="128"/>
      <c r="E1124" s="127"/>
      <c r="F1124" s="129"/>
      <c r="G1124" s="129"/>
    </row>
    <row r="1125" spans="6:7" ht="19.5" thickBot="1">
      <c r="F1125" s="130">
        <f>SUM(F1105:F1124)</f>
        <v>10000000</v>
      </c>
      <c r="G1125" s="130">
        <f>SUM(G1105:G1124)</f>
        <v>10000000</v>
      </c>
    </row>
    <row r="1126" spans="6:7" ht="19.5" thickTop="1">
      <c r="F1126" s="3"/>
      <c r="G1126" s="3"/>
    </row>
    <row r="1127" spans="1:7" ht="18.75">
      <c r="A1127" s="4" t="s">
        <v>141</v>
      </c>
      <c r="B1127" s="4" t="s">
        <v>583</v>
      </c>
      <c r="F1127" s="3"/>
      <c r="G1127" s="131"/>
    </row>
    <row r="1128" spans="1:7" ht="18.75">
      <c r="A1128" s="4" t="s">
        <v>584</v>
      </c>
      <c r="F1128" s="3"/>
      <c r="G1128" s="3"/>
    </row>
    <row r="1129" spans="1:7" ht="18.75">
      <c r="A1129" s="693" t="s">
        <v>144</v>
      </c>
      <c r="B1129" s="694"/>
      <c r="C1129" s="695"/>
      <c r="D1129" s="692" t="s">
        <v>143</v>
      </c>
      <c r="E1129" s="692"/>
      <c r="F1129" s="692" t="s">
        <v>142</v>
      </c>
      <c r="G1129" s="692"/>
    </row>
    <row r="1130" spans="1:7" ht="18.75">
      <c r="A1130" s="132"/>
      <c r="B1130" s="383"/>
      <c r="C1130" s="388"/>
      <c r="D1130" s="132"/>
      <c r="E1130" s="388"/>
      <c r="F1130" s="132"/>
      <c r="G1130" s="388"/>
    </row>
    <row r="1131" spans="1:7" ht="18.75">
      <c r="A1131" s="132"/>
      <c r="B1131" s="383"/>
      <c r="C1131" s="388"/>
      <c r="D1131" s="132"/>
      <c r="E1131" s="388"/>
      <c r="F1131" s="132"/>
      <c r="G1131" s="388"/>
    </row>
    <row r="1132" spans="1:7" ht="18.75">
      <c r="A1132" s="696" t="s">
        <v>351</v>
      </c>
      <c r="B1132" s="697"/>
      <c r="C1132" s="698"/>
      <c r="D1132" s="696" t="s">
        <v>33</v>
      </c>
      <c r="E1132" s="698"/>
      <c r="F1132" s="696" t="str">
        <f>+A1132</f>
        <v>(นางสาววรรณา  ผลบุญ)</v>
      </c>
      <c r="G1132" s="698"/>
    </row>
    <row r="1133" spans="1:7" ht="18.75">
      <c r="A1133" s="696" t="s">
        <v>570</v>
      </c>
      <c r="B1133" s="697"/>
      <c r="C1133" s="698"/>
      <c r="D1133" s="696" t="s">
        <v>389</v>
      </c>
      <c r="E1133" s="698"/>
      <c r="F1133" s="696" t="str">
        <f>+A1133</f>
        <v>นักวิชาการเงินและบัญชี</v>
      </c>
      <c r="G1133" s="698"/>
    </row>
    <row r="1134" spans="1:7" ht="18.75">
      <c r="A1134" s="127"/>
      <c r="B1134" s="128"/>
      <c r="C1134" s="133"/>
      <c r="D1134" s="687" t="s">
        <v>36</v>
      </c>
      <c r="E1134" s="688"/>
      <c r="F1134" s="127"/>
      <c r="G1134" s="133"/>
    </row>
    <row r="1135" ht="18.75">
      <c r="G1135" s="118" t="s">
        <v>580</v>
      </c>
    </row>
    <row r="1136" ht="18.75">
      <c r="G1136" s="118" t="s">
        <v>569</v>
      </c>
    </row>
    <row r="1137" spans="1:7" ht="18.75">
      <c r="A1137" s="700" t="s">
        <v>153</v>
      </c>
      <c r="B1137" s="700"/>
      <c r="C1137" s="700"/>
      <c r="D1137" s="700"/>
      <c r="E1137" s="700"/>
      <c r="F1137" s="700"/>
      <c r="G1137" s="700"/>
    </row>
    <row r="1138" ht="18.75">
      <c r="A1138" s="4" t="s">
        <v>138</v>
      </c>
    </row>
    <row r="1139" spans="1:7" ht="18.75">
      <c r="A1139" s="689" t="s">
        <v>0</v>
      </c>
      <c r="B1139" s="690"/>
      <c r="C1139" s="690"/>
      <c r="D1139" s="699"/>
      <c r="E1139" s="389" t="s">
        <v>139</v>
      </c>
      <c r="F1139" s="389" t="s">
        <v>40</v>
      </c>
      <c r="G1139" s="389" t="s">
        <v>1</v>
      </c>
    </row>
    <row r="1140" spans="1:7" ht="18.75">
      <c r="A1140" s="119" t="s">
        <v>148</v>
      </c>
      <c r="B1140" s="380"/>
      <c r="C1140" s="380"/>
      <c r="D1140" s="380"/>
      <c r="E1140" s="381">
        <v>110203</v>
      </c>
      <c r="F1140" s="135">
        <f>+ใบผ่านรายการบัญชีมาตรฐาน!G1189</f>
        <v>0</v>
      </c>
      <c r="G1140" s="135"/>
    </row>
    <row r="1141" spans="1:7" ht="18.75">
      <c r="A1141" s="136"/>
      <c r="B1141" s="124" t="s">
        <v>149</v>
      </c>
      <c r="C1141" s="383"/>
      <c r="D1141" s="383"/>
      <c r="E1141" s="381">
        <v>110201</v>
      </c>
      <c r="F1141" s="125"/>
      <c r="G1141" s="137">
        <f>+F1140</f>
        <v>0</v>
      </c>
    </row>
    <row r="1142" spans="1:7" ht="18.75">
      <c r="A1142" s="138"/>
      <c r="B1142" s="383"/>
      <c r="C1142" s="383"/>
      <c r="D1142" s="383"/>
      <c r="E1142" s="381"/>
      <c r="F1142" s="125"/>
      <c r="G1142" s="139"/>
    </row>
    <row r="1143" spans="1:7" ht="18.75">
      <c r="A1143" s="123"/>
      <c r="B1143" s="383"/>
      <c r="C1143" s="383"/>
      <c r="D1143" s="383"/>
      <c r="E1143" s="381"/>
      <c r="F1143" s="125"/>
      <c r="G1143" s="139"/>
    </row>
    <row r="1144" spans="1:7" ht="18.75">
      <c r="A1144" s="123"/>
      <c r="B1144" s="383"/>
      <c r="C1144" s="383"/>
      <c r="D1144" s="383"/>
      <c r="E1144" s="381"/>
      <c r="F1144" s="125"/>
      <c r="G1144" s="139"/>
    </row>
    <row r="1145" spans="1:7" ht="18.75">
      <c r="A1145" s="123"/>
      <c r="B1145" s="383"/>
      <c r="C1145" s="383"/>
      <c r="D1145" s="383"/>
      <c r="E1145" s="381"/>
      <c r="F1145" s="125"/>
      <c r="G1145" s="139"/>
    </row>
    <row r="1146" spans="1:7" ht="18.75">
      <c r="A1146" s="138"/>
      <c r="B1146" s="383"/>
      <c r="C1146" s="383"/>
      <c r="D1146" s="383"/>
      <c r="E1146" s="381"/>
      <c r="F1146" s="125"/>
      <c r="G1146" s="139"/>
    </row>
    <row r="1147" spans="1:7" ht="18.75">
      <c r="A1147" s="138"/>
      <c r="B1147" s="124"/>
      <c r="C1147" s="124"/>
      <c r="D1147" s="124"/>
      <c r="E1147" s="381"/>
      <c r="F1147" s="125"/>
      <c r="G1147" s="125"/>
    </row>
    <row r="1148" spans="1:7" ht="18.75">
      <c r="A1148" s="123"/>
      <c r="B1148" s="124"/>
      <c r="C1148" s="124"/>
      <c r="D1148" s="124"/>
      <c r="E1148" s="381"/>
      <c r="F1148" s="125"/>
      <c r="G1148" s="125"/>
    </row>
    <row r="1149" spans="1:7" ht="18.75">
      <c r="A1149" s="123"/>
      <c r="B1149" s="124"/>
      <c r="C1149" s="124"/>
      <c r="D1149" s="124"/>
      <c r="E1149" s="381"/>
      <c r="F1149" s="125"/>
      <c r="G1149" s="125"/>
    </row>
    <row r="1150" spans="1:7" ht="18.75">
      <c r="A1150" s="123"/>
      <c r="B1150" s="124"/>
      <c r="C1150" s="124"/>
      <c r="D1150" s="124"/>
      <c r="E1150" s="381"/>
      <c r="F1150" s="125"/>
      <c r="G1150" s="125"/>
    </row>
    <row r="1151" spans="1:7" ht="18.75">
      <c r="A1151" s="123"/>
      <c r="B1151" s="124"/>
      <c r="C1151" s="124"/>
      <c r="D1151" s="124"/>
      <c r="E1151" s="381"/>
      <c r="F1151" s="125"/>
      <c r="G1151" s="125"/>
    </row>
    <row r="1152" spans="1:7" ht="18.75">
      <c r="A1152" s="138"/>
      <c r="B1152" s="124"/>
      <c r="C1152" s="124"/>
      <c r="D1152" s="124"/>
      <c r="E1152" s="381"/>
      <c r="F1152" s="125"/>
      <c r="G1152" s="125"/>
    </row>
    <row r="1153" spans="1:7" ht="18.75">
      <c r="A1153" s="123"/>
      <c r="B1153" s="124"/>
      <c r="C1153" s="124"/>
      <c r="D1153" s="124"/>
      <c r="E1153" s="381"/>
      <c r="F1153" s="125"/>
      <c r="G1153" s="125"/>
    </row>
    <row r="1154" spans="1:7" ht="18.75">
      <c r="A1154" s="123"/>
      <c r="B1154" s="124"/>
      <c r="C1154" s="124"/>
      <c r="D1154" s="124"/>
      <c r="E1154" s="381"/>
      <c r="F1154" s="125"/>
      <c r="G1154" s="125"/>
    </row>
    <row r="1155" spans="1:7" ht="18.75">
      <c r="A1155" s="123"/>
      <c r="B1155" s="124"/>
      <c r="C1155" s="124"/>
      <c r="D1155" s="124"/>
      <c r="E1155" s="381"/>
      <c r="F1155" s="125"/>
      <c r="G1155" s="125"/>
    </row>
    <row r="1156" spans="1:7" ht="18.75">
      <c r="A1156" s="123"/>
      <c r="B1156" s="124"/>
      <c r="C1156" s="124"/>
      <c r="D1156" s="124"/>
      <c r="E1156" s="381"/>
      <c r="F1156" s="125"/>
      <c r="G1156" s="125"/>
    </row>
    <row r="1157" spans="1:7" ht="18.75">
      <c r="A1157" s="123"/>
      <c r="B1157" s="124"/>
      <c r="C1157" s="124"/>
      <c r="D1157" s="124"/>
      <c r="E1157" s="381"/>
      <c r="F1157" s="125"/>
      <c r="G1157" s="125"/>
    </row>
    <row r="1158" spans="1:7" ht="18.75">
      <c r="A1158" s="123"/>
      <c r="B1158" s="124"/>
      <c r="C1158" s="124"/>
      <c r="D1158" s="124"/>
      <c r="E1158" s="381"/>
      <c r="F1158" s="125"/>
      <c r="G1158" s="125"/>
    </row>
    <row r="1159" spans="1:7" ht="18.75">
      <c r="A1159" s="123"/>
      <c r="B1159" s="124"/>
      <c r="C1159" s="124"/>
      <c r="D1159" s="124"/>
      <c r="E1159" s="381"/>
      <c r="F1159" s="125"/>
      <c r="G1159" s="125"/>
    </row>
    <row r="1160" spans="1:7" ht="18.75">
      <c r="A1160" s="123"/>
      <c r="B1160" s="124"/>
      <c r="C1160" s="124"/>
      <c r="D1160" s="124"/>
      <c r="E1160" s="381"/>
      <c r="F1160" s="125"/>
      <c r="G1160" s="125"/>
    </row>
    <row r="1161" spans="1:7" ht="18.75">
      <c r="A1161" s="127"/>
      <c r="B1161" s="128"/>
      <c r="C1161" s="128"/>
      <c r="D1161" s="128"/>
      <c r="E1161" s="140"/>
      <c r="F1161" s="129"/>
      <c r="G1161" s="129"/>
    </row>
    <row r="1162" spans="6:7" ht="19.5" thickBot="1">
      <c r="F1162" s="141">
        <f>SUM(F1140:F1161)</f>
        <v>0</v>
      </c>
      <c r="G1162" s="141">
        <f>SUM(G1140:G1161)</f>
        <v>0</v>
      </c>
    </row>
    <row r="1163" spans="6:7" ht="19.5" thickTop="1">
      <c r="F1163" s="3"/>
      <c r="G1163" s="3"/>
    </row>
    <row r="1164" spans="1:7" ht="18.75">
      <c r="A1164" s="4" t="s">
        <v>141</v>
      </c>
      <c r="B1164" s="2" t="s">
        <v>151</v>
      </c>
      <c r="F1164" s="3"/>
      <c r="G1164" s="131"/>
    </row>
    <row r="1165" spans="6:7" ht="18.75">
      <c r="F1165" s="3"/>
      <c r="G1165" s="3"/>
    </row>
    <row r="1166" spans="1:7" ht="18.75">
      <c r="A1166" s="693" t="s">
        <v>144</v>
      </c>
      <c r="B1166" s="694"/>
      <c r="C1166" s="695"/>
      <c r="D1166" s="692" t="s">
        <v>143</v>
      </c>
      <c r="E1166" s="692"/>
      <c r="F1166" s="692" t="s">
        <v>142</v>
      </c>
      <c r="G1166" s="692"/>
    </row>
    <row r="1167" spans="1:7" ht="18.75">
      <c r="A1167" s="123"/>
      <c r="B1167" s="124"/>
      <c r="C1167" s="126"/>
      <c r="D1167" s="123"/>
      <c r="E1167" s="126"/>
      <c r="F1167" s="123"/>
      <c r="G1167" s="126"/>
    </row>
    <row r="1168" spans="1:7" ht="18.75">
      <c r="A1168" s="123"/>
      <c r="B1168" s="124"/>
      <c r="C1168" s="126"/>
      <c r="D1168" s="123"/>
      <c r="E1168" s="126"/>
      <c r="F1168" s="123"/>
      <c r="G1168" s="126"/>
    </row>
    <row r="1169" spans="1:7" ht="18.75">
      <c r="A1169" s="696" t="str">
        <f>+A1132</f>
        <v>(นางสาววรรณา  ผลบุญ)</v>
      </c>
      <c r="B1169" s="697"/>
      <c r="C1169" s="698"/>
      <c r="D1169" s="696" t="str">
        <f>+D1132</f>
        <v>(นายวสันต์  ไทรแก้ว)</v>
      </c>
      <c r="E1169" s="698"/>
      <c r="F1169" s="696" t="str">
        <f>+A1169</f>
        <v>(นางสาววรรณา  ผลบุญ)</v>
      </c>
      <c r="G1169" s="698"/>
    </row>
    <row r="1170" spans="1:7" ht="18.75">
      <c r="A1170" s="696" t="str">
        <f>+A1133</f>
        <v>นักวิชาการเงินและบัญชี</v>
      </c>
      <c r="B1170" s="697"/>
      <c r="C1170" s="698"/>
      <c r="D1170" s="696" t="str">
        <f>+D1133</f>
        <v>ปลัดเทศบาล รักษาราชการแทน</v>
      </c>
      <c r="E1170" s="698"/>
      <c r="F1170" s="696" t="str">
        <f>+A1170</f>
        <v>นักวิชาการเงินและบัญชี</v>
      </c>
      <c r="G1170" s="698"/>
    </row>
    <row r="1171" spans="1:7" ht="18.75">
      <c r="A1171" s="127"/>
      <c r="B1171" s="128"/>
      <c r="C1171" s="133"/>
      <c r="D1171" s="687" t="s">
        <v>36</v>
      </c>
      <c r="E1171" s="688"/>
      <c r="F1171" s="127"/>
      <c r="G1171" s="133"/>
    </row>
    <row r="1172" spans="1:7" ht="18.75">
      <c r="A1172" s="124"/>
      <c r="B1172" s="124"/>
      <c r="C1172" s="124"/>
      <c r="D1172" s="382"/>
      <c r="E1172" s="382"/>
      <c r="F1172" s="124"/>
      <c r="G1172" s="124"/>
    </row>
  </sheetData>
  <sheetProtection/>
  <mergeCells count="397">
    <mergeCell ref="D1035:E1035"/>
    <mergeCell ref="D1002:E1002"/>
    <mergeCell ref="A1005:G1005"/>
    <mergeCell ref="A1031:C1031"/>
    <mergeCell ref="D1031:E1031"/>
    <mergeCell ref="F1031:G1031"/>
    <mergeCell ref="A1033:C1033"/>
    <mergeCell ref="D1033:E1033"/>
    <mergeCell ref="F1033:G1033"/>
    <mergeCell ref="A1034:C1034"/>
    <mergeCell ref="D1034:E1034"/>
    <mergeCell ref="F1034:G1034"/>
    <mergeCell ref="A972:G972"/>
    <mergeCell ref="A998:C998"/>
    <mergeCell ref="D998:E998"/>
    <mergeCell ref="F998:G998"/>
    <mergeCell ref="A1000:C1000"/>
    <mergeCell ref="D1000:E1000"/>
    <mergeCell ref="F1000:G1000"/>
    <mergeCell ref="A1001:C1001"/>
    <mergeCell ref="D1001:E1001"/>
    <mergeCell ref="F1001:G1001"/>
    <mergeCell ref="D969:E969"/>
    <mergeCell ref="D936:E936"/>
    <mergeCell ref="A939:G939"/>
    <mergeCell ref="A965:C965"/>
    <mergeCell ref="D965:E965"/>
    <mergeCell ref="F965:G965"/>
    <mergeCell ref="A967:C967"/>
    <mergeCell ref="D967:E967"/>
    <mergeCell ref="F967:G967"/>
    <mergeCell ref="A968:C968"/>
    <mergeCell ref="D968:E968"/>
    <mergeCell ref="F968:G968"/>
    <mergeCell ref="D903:E903"/>
    <mergeCell ref="A906:G906"/>
    <mergeCell ref="A932:C932"/>
    <mergeCell ref="D932:E932"/>
    <mergeCell ref="F932:G932"/>
    <mergeCell ref="A934:C934"/>
    <mergeCell ref="D934:E934"/>
    <mergeCell ref="F934:G934"/>
    <mergeCell ref="A935:C935"/>
    <mergeCell ref="D935:E935"/>
    <mergeCell ref="F935:G935"/>
    <mergeCell ref="A873:G873"/>
    <mergeCell ref="A899:C899"/>
    <mergeCell ref="D899:E899"/>
    <mergeCell ref="F899:G899"/>
    <mergeCell ref="A901:C901"/>
    <mergeCell ref="D901:E901"/>
    <mergeCell ref="F901:G901"/>
    <mergeCell ref="A902:C902"/>
    <mergeCell ref="D902:E902"/>
    <mergeCell ref="F902:G902"/>
    <mergeCell ref="F800:G800"/>
    <mergeCell ref="A802:C802"/>
    <mergeCell ref="D802:E802"/>
    <mergeCell ref="F802:G802"/>
    <mergeCell ref="A803:C803"/>
    <mergeCell ref="D803:E803"/>
    <mergeCell ref="F803:G803"/>
    <mergeCell ref="D804:E804"/>
    <mergeCell ref="A755:D755"/>
    <mergeCell ref="A756:D756"/>
    <mergeCell ref="A757:D757"/>
    <mergeCell ref="A758:D758"/>
    <mergeCell ref="A759:D759"/>
    <mergeCell ref="A764:D764"/>
    <mergeCell ref="A765:D765"/>
    <mergeCell ref="A771:D771"/>
    <mergeCell ref="A800:C800"/>
    <mergeCell ref="D800:E800"/>
    <mergeCell ref="A738:G738"/>
    <mergeCell ref="A745:D745"/>
    <mergeCell ref="A747:D747"/>
    <mergeCell ref="A748:D748"/>
    <mergeCell ref="A749:D749"/>
    <mergeCell ref="A750:D750"/>
    <mergeCell ref="A752:D752"/>
    <mergeCell ref="A753:D753"/>
    <mergeCell ref="A754:D754"/>
    <mergeCell ref="D603:E603"/>
    <mergeCell ref="D571:E571"/>
    <mergeCell ref="A574:G574"/>
    <mergeCell ref="A599:C599"/>
    <mergeCell ref="D599:E599"/>
    <mergeCell ref="F599:G599"/>
    <mergeCell ref="A601:C601"/>
    <mergeCell ref="D601:E601"/>
    <mergeCell ref="F601:G601"/>
    <mergeCell ref="A602:C602"/>
    <mergeCell ref="D602:E602"/>
    <mergeCell ref="F602:G602"/>
    <mergeCell ref="D539:E539"/>
    <mergeCell ref="A542:G542"/>
    <mergeCell ref="A567:C567"/>
    <mergeCell ref="D567:E567"/>
    <mergeCell ref="F567:G567"/>
    <mergeCell ref="A569:C569"/>
    <mergeCell ref="D569:E569"/>
    <mergeCell ref="F569:G569"/>
    <mergeCell ref="A570:C570"/>
    <mergeCell ref="D570:E570"/>
    <mergeCell ref="F570:G570"/>
    <mergeCell ref="A510:G510"/>
    <mergeCell ref="A535:C535"/>
    <mergeCell ref="D535:E535"/>
    <mergeCell ref="F535:G535"/>
    <mergeCell ref="A537:C537"/>
    <mergeCell ref="D537:E537"/>
    <mergeCell ref="F537:G537"/>
    <mergeCell ref="A538:C538"/>
    <mergeCell ref="D538:E538"/>
    <mergeCell ref="F538:G538"/>
    <mergeCell ref="D475:E475"/>
    <mergeCell ref="A449:G449"/>
    <mergeCell ref="A471:C471"/>
    <mergeCell ref="D471:E471"/>
    <mergeCell ref="F471:G471"/>
    <mergeCell ref="A473:C473"/>
    <mergeCell ref="D473:E473"/>
    <mergeCell ref="F473:G473"/>
    <mergeCell ref="A474:C474"/>
    <mergeCell ref="D474:E474"/>
    <mergeCell ref="F474:G474"/>
    <mergeCell ref="D446:E446"/>
    <mergeCell ref="D415:E415"/>
    <mergeCell ref="A418:G418"/>
    <mergeCell ref="A442:C442"/>
    <mergeCell ref="D442:E442"/>
    <mergeCell ref="F442:G442"/>
    <mergeCell ref="A444:C444"/>
    <mergeCell ref="D444:E444"/>
    <mergeCell ref="F444:G444"/>
    <mergeCell ref="A445:C445"/>
    <mergeCell ref="D445:E445"/>
    <mergeCell ref="F445:G445"/>
    <mergeCell ref="A385:G385"/>
    <mergeCell ref="A410:C410"/>
    <mergeCell ref="D410:E410"/>
    <mergeCell ref="F410:G410"/>
    <mergeCell ref="A413:C413"/>
    <mergeCell ref="D413:E413"/>
    <mergeCell ref="F413:G413"/>
    <mergeCell ref="A414:C414"/>
    <mergeCell ref="D414:E414"/>
    <mergeCell ref="F414:G414"/>
    <mergeCell ref="D348:E348"/>
    <mergeCell ref="D313:E313"/>
    <mergeCell ref="A316:G316"/>
    <mergeCell ref="A343:C343"/>
    <mergeCell ref="D343:E343"/>
    <mergeCell ref="F343:G343"/>
    <mergeCell ref="A346:C346"/>
    <mergeCell ref="D346:E346"/>
    <mergeCell ref="F346:G346"/>
    <mergeCell ref="A347:C347"/>
    <mergeCell ref="D347:E347"/>
    <mergeCell ref="F347:G347"/>
    <mergeCell ref="A283:G283"/>
    <mergeCell ref="A309:C309"/>
    <mergeCell ref="D309:E309"/>
    <mergeCell ref="F309:G309"/>
    <mergeCell ref="A311:C311"/>
    <mergeCell ref="D311:E311"/>
    <mergeCell ref="F311:G311"/>
    <mergeCell ref="A312:C312"/>
    <mergeCell ref="D312:E312"/>
    <mergeCell ref="F312:G312"/>
    <mergeCell ref="D280:E280"/>
    <mergeCell ref="A244:G244"/>
    <mergeCell ref="A275:C275"/>
    <mergeCell ref="D275:E275"/>
    <mergeCell ref="F275:G275"/>
    <mergeCell ref="A278:C278"/>
    <mergeCell ref="D278:E278"/>
    <mergeCell ref="F278:G278"/>
    <mergeCell ref="A279:C279"/>
    <mergeCell ref="D279:E279"/>
    <mergeCell ref="F279:G279"/>
    <mergeCell ref="A33:C33"/>
    <mergeCell ref="D33:E33"/>
    <mergeCell ref="A3:G3"/>
    <mergeCell ref="A5:D5"/>
    <mergeCell ref="A30:C30"/>
    <mergeCell ref="D30:E30"/>
    <mergeCell ref="F30:G30"/>
    <mergeCell ref="F33:G33"/>
    <mergeCell ref="D35:E35"/>
    <mergeCell ref="A38:G38"/>
    <mergeCell ref="A40:D40"/>
    <mergeCell ref="A34:C34"/>
    <mergeCell ref="A78:D78"/>
    <mergeCell ref="A67:C67"/>
    <mergeCell ref="D67:E67"/>
    <mergeCell ref="F67:G67"/>
    <mergeCell ref="A70:C70"/>
    <mergeCell ref="D70:E70"/>
    <mergeCell ref="F70:G70"/>
    <mergeCell ref="A76:G76"/>
    <mergeCell ref="A71:C71"/>
    <mergeCell ref="D71:E71"/>
    <mergeCell ref="F71:G71"/>
    <mergeCell ref="D72:E72"/>
    <mergeCell ref="D34:E34"/>
    <mergeCell ref="F34:G34"/>
    <mergeCell ref="A100:C100"/>
    <mergeCell ref="D100:E100"/>
    <mergeCell ref="F100:G100"/>
    <mergeCell ref="A103:C103"/>
    <mergeCell ref="F103:G103"/>
    <mergeCell ref="A102:C102"/>
    <mergeCell ref="D102:E102"/>
    <mergeCell ref="F102:G102"/>
    <mergeCell ref="D103:E103"/>
    <mergeCell ref="A203:C203"/>
    <mergeCell ref="D203:E203"/>
    <mergeCell ref="F203:G203"/>
    <mergeCell ref="A206:C206"/>
    <mergeCell ref="F206:G206"/>
    <mergeCell ref="D206:E206"/>
    <mergeCell ref="A207:C207"/>
    <mergeCell ref="F104:G104"/>
    <mergeCell ref="A136:C136"/>
    <mergeCell ref="D136:E136"/>
    <mergeCell ref="F136:G136"/>
    <mergeCell ref="A107:G107"/>
    <mergeCell ref="A134:C134"/>
    <mergeCell ref="D134:E134"/>
    <mergeCell ref="F134:G134"/>
    <mergeCell ref="A104:C104"/>
    <mergeCell ref="D104:E104"/>
    <mergeCell ref="D175:E175"/>
    <mergeCell ref="A178:G178"/>
    <mergeCell ref="A137:C137"/>
    <mergeCell ref="D137:E137"/>
    <mergeCell ref="F137:G137"/>
    <mergeCell ref="A173:C173"/>
    <mergeCell ref="D173:E173"/>
    <mergeCell ref="F173:G173"/>
    <mergeCell ref="A174:C174"/>
    <mergeCell ref="D174:E174"/>
    <mergeCell ref="F174:G174"/>
    <mergeCell ref="D138:E138"/>
    <mergeCell ref="A144:G144"/>
    <mergeCell ref="A170:C170"/>
    <mergeCell ref="D170:E170"/>
    <mergeCell ref="F170:G170"/>
    <mergeCell ref="D207:E207"/>
    <mergeCell ref="F207:G207"/>
    <mergeCell ref="A240:C240"/>
    <mergeCell ref="D240:E240"/>
    <mergeCell ref="F240:G240"/>
    <mergeCell ref="D241:E241"/>
    <mergeCell ref="A211:G211"/>
    <mergeCell ref="A237:C237"/>
    <mergeCell ref="D237:E237"/>
    <mergeCell ref="F237:G237"/>
    <mergeCell ref="A239:C239"/>
    <mergeCell ref="D239:E239"/>
    <mergeCell ref="F239:G239"/>
    <mergeCell ref="D208:E208"/>
    <mergeCell ref="D382:E382"/>
    <mergeCell ref="A351:G351"/>
    <mergeCell ref="A377:C377"/>
    <mergeCell ref="D377:E377"/>
    <mergeCell ref="F377:G377"/>
    <mergeCell ref="A380:C380"/>
    <mergeCell ref="D380:E380"/>
    <mergeCell ref="F380:G380"/>
    <mergeCell ref="A381:C381"/>
    <mergeCell ref="D381:E381"/>
    <mergeCell ref="F381:G381"/>
    <mergeCell ref="D507:E507"/>
    <mergeCell ref="A478:G478"/>
    <mergeCell ref="A503:C503"/>
    <mergeCell ref="D503:E503"/>
    <mergeCell ref="F503:G503"/>
    <mergeCell ref="A505:C505"/>
    <mergeCell ref="D505:E505"/>
    <mergeCell ref="F505:G505"/>
    <mergeCell ref="A506:C506"/>
    <mergeCell ref="D506:E506"/>
    <mergeCell ref="F506:G506"/>
    <mergeCell ref="A606:G606"/>
    <mergeCell ref="A632:C632"/>
    <mergeCell ref="D632:E632"/>
    <mergeCell ref="F632:G632"/>
    <mergeCell ref="A634:C634"/>
    <mergeCell ref="D634:E634"/>
    <mergeCell ref="F634:G634"/>
    <mergeCell ref="A635:C635"/>
    <mergeCell ref="D635:E635"/>
    <mergeCell ref="F635:G635"/>
    <mergeCell ref="D636:E636"/>
    <mergeCell ref="A639:G639"/>
    <mergeCell ref="A665:C665"/>
    <mergeCell ref="D665:E665"/>
    <mergeCell ref="F665:G665"/>
    <mergeCell ref="A667:C667"/>
    <mergeCell ref="D667:E667"/>
    <mergeCell ref="F667:G667"/>
    <mergeCell ref="A668:C668"/>
    <mergeCell ref="D668:E668"/>
    <mergeCell ref="F668:G668"/>
    <mergeCell ref="D669:E669"/>
    <mergeCell ref="A672:G672"/>
    <mergeCell ref="A698:C698"/>
    <mergeCell ref="D698:E698"/>
    <mergeCell ref="F698:G698"/>
    <mergeCell ref="A700:C700"/>
    <mergeCell ref="D700:E700"/>
    <mergeCell ref="F700:G700"/>
    <mergeCell ref="A701:C701"/>
    <mergeCell ref="D701:E701"/>
    <mergeCell ref="F701:G701"/>
    <mergeCell ref="D735:E735"/>
    <mergeCell ref="D702:E702"/>
    <mergeCell ref="A705:G705"/>
    <mergeCell ref="A731:C731"/>
    <mergeCell ref="D731:E731"/>
    <mergeCell ref="F731:G731"/>
    <mergeCell ref="A733:C733"/>
    <mergeCell ref="D733:E733"/>
    <mergeCell ref="F733:G733"/>
    <mergeCell ref="A734:C734"/>
    <mergeCell ref="D734:E734"/>
    <mergeCell ref="F734:G734"/>
    <mergeCell ref="A807:G807"/>
    <mergeCell ref="A833:C833"/>
    <mergeCell ref="D833:E833"/>
    <mergeCell ref="F833:G833"/>
    <mergeCell ref="A835:C835"/>
    <mergeCell ref="D835:E835"/>
    <mergeCell ref="F835:G835"/>
    <mergeCell ref="A836:C836"/>
    <mergeCell ref="D836:E836"/>
    <mergeCell ref="F836:G836"/>
    <mergeCell ref="D870:E870"/>
    <mergeCell ref="D837:E837"/>
    <mergeCell ref="A840:G840"/>
    <mergeCell ref="A866:C866"/>
    <mergeCell ref="D866:E866"/>
    <mergeCell ref="F866:G866"/>
    <mergeCell ref="A868:C868"/>
    <mergeCell ref="D868:E868"/>
    <mergeCell ref="F868:G868"/>
    <mergeCell ref="A869:C869"/>
    <mergeCell ref="D869:E869"/>
    <mergeCell ref="F869:G869"/>
    <mergeCell ref="D1067:E1067"/>
    <mergeCell ref="A1038:G1038"/>
    <mergeCell ref="A1063:C1063"/>
    <mergeCell ref="D1063:E1063"/>
    <mergeCell ref="F1063:G1063"/>
    <mergeCell ref="A1065:C1065"/>
    <mergeCell ref="D1065:E1065"/>
    <mergeCell ref="F1065:G1065"/>
    <mergeCell ref="A1066:C1066"/>
    <mergeCell ref="D1066:E1066"/>
    <mergeCell ref="F1066:G1066"/>
    <mergeCell ref="D1099:E1099"/>
    <mergeCell ref="A1070:G1070"/>
    <mergeCell ref="A1095:C1095"/>
    <mergeCell ref="D1095:E1095"/>
    <mergeCell ref="F1095:G1095"/>
    <mergeCell ref="A1097:C1097"/>
    <mergeCell ref="D1097:E1097"/>
    <mergeCell ref="F1097:G1097"/>
    <mergeCell ref="A1098:C1098"/>
    <mergeCell ref="D1098:E1098"/>
    <mergeCell ref="F1098:G1098"/>
    <mergeCell ref="A1102:G1102"/>
    <mergeCell ref="A1104:D1104"/>
    <mergeCell ref="A1129:C1129"/>
    <mergeCell ref="D1129:E1129"/>
    <mergeCell ref="F1129:G1129"/>
    <mergeCell ref="A1132:C1132"/>
    <mergeCell ref="D1132:E1132"/>
    <mergeCell ref="F1132:G1132"/>
    <mergeCell ref="A1133:C1133"/>
    <mergeCell ref="D1133:E1133"/>
    <mergeCell ref="F1133:G1133"/>
    <mergeCell ref="A1170:C1170"/>
    <mergeCell ref="D1170:E1170"/>
    <mergeCell ref="F1170:G1170"/>
    <mergeCell ref="D1171:E1171"/>
    <mergeCell ref="D1134:E1134"/>
    <mergeCell ref="A1137:G1137"/>
    <mergeCell ref="A1139:D1139"/>
    <mergeCell ref="A1166:C1166"/>
    <mergeCell ref="D1166:E1166"/>
    <mergeCell ref="F1166:G1166"/>
    <mergeCell ref="A1169:C1169"/>
    <mergeCell ref="D1169:E1169"/>
    <mergeCell ref="F1169:G1169"/>
  </mergeCells>
  <printOptions/>
  <pageMargins left="0.7874015748031497" right="0.5511811023622047" top="0.7480314960629921" bottom="0.7480314960629921" header="0.31496062992125984" footer="0.31496062992125984"/>
  <pageSetup horizontalDpi="600" verticalDpi="600" orientation="portrait" paperSize="9" r:id="rId1"/>
  <rowBreaks count="33" manualBreakCount="33">
    <brk id="35" max="6" man="1"/>
    <brk id="73" max="255" man="1"/>
    <brk id="104" max="6" man="1"/>
    <brk id="141" max="6" man="1"/>
    <brk id="175" max="6" man="1"/>
    <brk id="208" max="6" man="1"/>
    <brk id="241" max="6" man="1"/>
    <brk id="280" max="6" man="1"/>
    <brk id="313" max="6" man="1"/>
    <brk id="348" max="6" man="1"/>
    <brk id="382" max="6" man="1"/>
    <brk id="415" max="6" man="1"/>
    <brk id="446" max="6" man="1"/>
    <brk id="475" max="6" man="1"/>
    <brk id="507" max="6" man="1"/>
    <brk id="539" max="6" man="1"/>
    <brk id="571" max="6" man="1"/>
    <brk id="603" max="6" man="1"/>
    <brk id="636" max="6" man="1"/>
    <brk id="669" max="6" man="1"/>
    <brk id="702" max="6" man="1"/>
    <brk id="735" max="6" man="1"/>
    <brk id="771" max="6" man="1"/>
    <brk id="804" max="6" man="1"/>
    <brk id="837" max="6" man="1"/>
    <brk id="870" max="6" man="1"/>
    <brk id="903" max="6" man="1"/>
    <brk id="936" max="6" man="1"/>
    <brk id="969" max="6" man="1"/>
    <brk id="1002" max="6" man="1"/>
    <brk id="1035" max="6" man="1"/>
    <brk id="1067" max="6" man="1"/>
    <brk id="109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1171"/>
  <sheetViews>
    <sheetView view="pageBreakPreview" zoomScaleSheetLayoutView="100" zoomScalePageLayoutView="0" workbookViewId="0" topLeftCell="A13">
      <selection activeCell="D12" sqref="D12"/>
    </sheetView>
  </sheetViews>
  <sheetFormatPr defaultColWidth="9.140625" defaultRowHeight="12.75"/>
  <cols>
    <col min="1" max="1" width="8.7109375" style="2" customWidth="1"/>
    <col min="2" max="2" width="8.8515625" style="2" customWidth="1"/>
    <col min="3" max="3" width="8.140625" style="2" customWidth="1"/>
    <col min="4" max="4" width="27.140625" style="2" customWidth="1"/>
    <col min="5" max="5" width="8.57421875" style="2" customWidth="1"/>
    <col min="6" max="7" width="13.140625" style="2" customWidth="1"/>
    <col min="8" max="8" width="13.57421875" style="2" bestFit="1" customWidth="1"/>
    <col min="9" max="9" width="12.7109375" style="2" bestFit="1" customWidth="1"/>
    <col min="10" max="10" width="9.140625" style="2" customWidth="1"/>
    <col min="11" max="11" width="11.00390625" style="2" bestFit="1" customWidth="1"/>
    <col min="12" max="16384" width="9.140625" style="2" customWidth="1"/>
  </cols>
  <sheetData>
    <row r="1" ht="18.75">
      <c r="G1" s="118" t="s">
        <v>730</v>
      </c>
    </row>
    <row r="2" ht="18.75">
      <c r="G2" s="118" t="s">
        <v>717</v>
      </c>
    </row>
    <row r="3" spans="1:7" ht="18.75">
      <c r="A3" s="700" t="s">
        <v>153</v>
      </c>
      <c r="B3" s="700"/>
      <c r="C3" s="700"/>
      <c r="D3" s="700"/>
      <c r="E3" s="700"/>
      <c r="F3" s="700"/>
      <c r="G3" s="700"/>
    </row>
    <row r="4" ht="18.75">
      <c r="A4" s="4" t="s">
        <v>138</v>
      </c>
    </row>
    <row r="5" spans="1:7" ht="18.75">
      <c r="A5" s="689" t="s">
        <v>0</v>
      </c>
      <c r="B5" s="690"/>
      <c r="C5" s="690"/>
      <c r="D5" s="690"/>
      <c r="E5" s="444" t="s">
        <v>139</v>
      </c>
      <c r="F5" s="444" t="s">
        <v>40</v>
      </c>
      <c r="G5" s="444" t="s">
        <v>1</v>
      </c>
    </row>
    <row r="6" spans="1:7" ht="18.75">
      <c r="A6" s="119" t="s">
        <v>149</v>
      </c>
      <c r="B6" s="120"/>
      <c r="C6" s="120"/>
      <c r="D6" s="120"/>
      <c r="E6" s="511">
        <v>110201</v>
      </c>
      <c r="F6" s="122">
        <v>10000000</v>
      </c>
      <c r="G6" s="122"/>
    </row>
    <row r="7" spans="1:7" ht="18.75">
      <c r="A7" s="123"/>
      <c r="B7" s="124" t="s">
        <v>326</v>
      </c>
      <c r="C7" s="124"/>
      <c r="D7" s="124"/>
      <c r="E7" s="511">
        <v>110201</v>
      </c>
      <c r="F7" s="125"/>
      <c r="G7" s="125">
        <f>+F6</f>
        <v>10000000</v>
      </c>
    </row>
    <row r="8" spans="1:7" ht="18.75">
      <c r="A8" s="123"/>
      <c r="B8" s="124"/>
      <c r="C8" s="124"/>
      <c r="D8" s="126"/>
      <c r="F8" s="511"/>
      <c r="G8" s="125"/>
    </row>
    <row r="9" spans="1:7" ht="18.75">
      <c r="A9" s="123"/>
      <c r="B9" s="124"/>
      <c r="C9" s="124"/>
      <c r="D9" s="124"/>
      <c r="E9" s="511"/>
      <c r="F9" s="125"/>
      <c r="G9" s="125"/>
    </row>
    <row r="10" spans="1:7" ht="18.75">
      <c r="A10" s="123"/>
      <c r="B10" s="124"/>
      <c r="C10" s="124"/>
      <c r="D10" s="124"/>
      <c r="E10" s="511"/>
      <c r="F10" s="125"/>
      <c r="G10" s="145"/>
    </row>
    <row r="11" spans="1:7" ht="18.75">
      <c r="A11" s="123"/>
      <c r="B11" s="124"/>
      <c r="C11" s="124"/>
      <c r="D11" s="124"/>
      <c r="E11" s="511"/>
      <c r="F11" s="125"/>
      <c r="G11" s="125"/>
    </row>
    <row r="12" spans="1:7" ht="18.75">
      <c r="A12" s="123"/>
      <c r="B12" s="124"/>
      <c r="C12" s="124"/>
      <c r="D12" s="124"/>
      <c r="E12" s="511"/>
      <c r="F12" s="125"/>
      <c r="G12" s="125"/>
    </row>
    <row r="13" spans="1:7" ht="18.75">
      <c r="A13" s="123"/>
      <c r="B13" s="124"/>
      <c r="C13" s="124"/>
      <c r="D13" s="124"/>
      <c r="E13" s="511"/>
      <c r="F13" s="125"/>
      <c r="G13" s="125"/>
    </row>
    <row r="14" spans="1:7" ht="18.75">
      <c r="A14" s="123"/>
      <c r="B14" s="124"/>
      <c r="C14" s="124"/>
      <c r="D14" s="124"/>
      <c r="E14" s="511"/>
      <c r="F14" s="125"/>
      <c r="G14" s="125"/>
    </row>
    <row r="15" spans="1:7" ht="18.75">
      <c r="A15" s="123"/>
      <c r="B15" s="124"/>
      <c r="C15" s="124"/>
      <c r="D15" s="124"/>
      <c r="E15" s="511"/>
      <c r="F15" s="125"/>
      <c r="G15" s="125"/>
    </row>
    <row r="16" spans="1:7" ht="18.75">
      <c r="A16" s="123"/>
      <c r="B16" s="124"/>
      <c r="C16" s="124"/>
      <c r="D16" s="124"/>
      <c r="E16" s="511"/>
      <c r="F16" s="125"/>
      <c r="G16" s="125"/>
    </row>
    <row r="17" spans="1:7" ht="18.75">
      <c r="A17" s="123"/>
      <c r="B17" s="124"/>
      <c r="C17" s="124"/>
      <c r="D17" s="124"/>
      <c r="E17" s="511"/>
      <c r="F17" s="125"/>
      <c r="G17" s="125"/>
    </row>
    <row r="18" spans="1:7" ht="18.75">
      <c r="A18" s="123"/>
      <c r="B18" s="124"/>
      <c r="C18" s="124"/>
      <c r="D18" s="124"/>
      <c r="E18" s="511"/>
      <c r="F18" s="125"/>
      <c r="G18" s="125"/>
    </row>
    <row r="19" spans="1:7" ht="18.75">
      <c r="A19" s="123"/>
      <c r="B19" s="124"/>
      <c r="C19" s="124"/>
      <c r="D19" s="124"/>
      <c r="E19" s="511"/>
      <c r="F19" s="125"/>
      <c r="G19" s="125"/>
    </row>
    <row r="20" spans="1:7" ht="18.75">
      <c r="A20" s="123"/>
      <c r="B20" s="124"/>
      <c r="C20" s="124"/>
      <c r="D20" s="124"/>
      <c r="E20" s="123"/>
      <c r="F20" s="125"/>
      <c r="G20" s="125"/>
    </row>
    <row r="21" spans="1:7" ht="18.75">
      <c r="A21" s="123"/>
      <c r="B21" s="124"/>
      <c r="C21" s="124"/>
      <c r="D21" s="124"/>
      <c r="E21" s="123"/>
      <c r="F21" s="125"/>
      <c r="G21" s="125"/>
    </row>
    <row r="22" spans="1:7" ht="18.75">
      <c r="A22" s="123"/>
      <c r="B22" s="124"/>
      <c r="C22" s="124"/>
      <c r="D22" s="124"/>
      <c r="E22" s="123"/>
      <c r="F22" s="125"/>
      <c r="G22" s="125"/>
    </row>
    <row r="23" spans="1:7" ht="18.75">
      <c r="A23" s="123"/>
      <c r="B23" s="124"/>
      <c r="C23" s="124"/>
      <c r="D23" s="124"/>
      <c r="E23" s="123"/>
      <c r="F23" s="125"/>
      <c r="G23" s="125"/>
    </row>
    <row r="24" spans="1:7" ht="18.75">
      <c r="A24" s="123"/>
      <c r="B24" s="124"/>
      <c r="C24" s="124"/>
      <c r="D24" s="124"/>
      <c r="E24" s="123"/>
      <c r="F24" s="125"/>
      <c r="G24" s="125"/>
    </row>
    <row r="25" spans="1:7" ht="18.75">
      <c r="A25" s="127"/>
      <c r="B25" s="128"/>
      <c r="C25" s="128"/>
      <c r="D25" s="128"/>
      <c r="E25" s="127"/>
      <c r="F25" s="129"/>
      <c r="G25" s="129"/>
    </row>
    <row r="26" spans="6:7" ht="19.5" thickBot="1">
      <c r="F26" s="130">
        <f>SUM(F6:F25)</f>
        <v>10000000</v>
      </c>
      <c r="G26" s="130">
        <f>SUM(G6:G25)</f>
        <v>10000000</v>
      </c>
    </row>
    <row r="27" spans="6:7" ht="19.5" thickTop="1">
      <c r="F27" s="3"/>
      <c r="G27" s="3"/>
    </row>
    <row r="28" spans="1:7" ht="18.75">
      <c r="A28" s="4" t="s">
        <v>141</v>
      </c>
      <c r="B28" s="4" t="s">
        <v>681</v>
      </c>
      <c r="F28" s="3"/>
      <c r="G28" s="131"/>
    </row>
    <row r="29" spans="1:7" ht="18.75">
      <c r="A29" s="4" t="s">
        <v>682</v>
      </c>
      <c r="F29" s="3"/>
      <c r="G29" s="3"/>
    </row>
    <row r="30" spans="1:7" ht="18.75">
      <c r="A30" s="693" t="s">
        <v>144</v>
      </c>
      <c r="B30" s="694"/>
      <c r="C30" s="695"/>
      <c r="D30" s="692" t="s">
        <v>143</v>
      </c>
      <c r="E30" s="692"/>
      <c r="F30" s="692" t="s">
        <v>142</v>
      </c>
      <c r="G30" s="692"/>
    </row>
    <row r="31" spans="1:7" ht="18.75">
      <c r="A31" s="132"/>
      <c r="B31" s="519"/>
      <c r="C31" s="523"/>
      <c r="D31" s="132"/>
      <c r="E31" s="523"/>
      <c r="F31" s="132"/>
      <c r="G31" s="523"/>
    </row>
    <row r="32" spans="1:7" ht="18.75">
      <c r="A32" s="696" t="s">
        <v>351</v>
      </c>
      <c r="B32" s="697"/>
      <c r="C32" s="698"/>
      <c r="D32" s="696" t="s">
        <v>642</v>
      </c>
      <c r="E32" s="698"/>
      <c r="F32" s="696" t="str">
        <f>+A32</f>
        <v>(นางสาววรรณา  ผลบุญ)</v>
      </c>
      <c r="G32" s="698"/>
    </row>
    <row r="33" spans="1:7" ht="18.75">
      <c r="A33" s="696" t="s">
        <v>570</v>
      </c>
      <c r="B33" s="697"/>
      <c r="C33" s="698"/>
      <c r="D33" s="696" t="s">
        <v>36</v>
      </c>
      <c r="E33" s="698"/>
      <c r="F33" s="696" t="str">
        <f>+A33</f>
        <v>นักวิชาการเงินและบัญชี</v>
      </c>
      <c r="G33" s="698"/>
    </row>
    <row r="34" spans="1:7" ht="18.75">
      <c r="A34" s="127"/>
      <c r="B34" s="128"/>
      <c r="C34" s="133"/>
      <c r="D34" s="687"/>
      <c r="E34" s="688"/>
      <c r="F34" s="127"/>
      <c r="G34" s="133"/>
    </row>
    <row r="35" ht="18.75">
      <c r="G35" s="118" t="s">
        <v>646</v>
      </c>
    </row>
    <row r="36" ht="18.75">
      <c r="G36" s="118" t="s">
        <v>669</v>
      </c>
    </row>
    <row r="37" spans="1:7" ht="18.75">
      <c r="A37" s="700" t="s">
        <v>153</v>
      </c>
      <c r="B37" s="700"/>
      <c r="C37" s="700"/>
      <c r="D37" s="700"/>
      <c r="E37" s="700"/>
      <c r="F37" s="700"/>
      <c r="G37" s="700"/>
    </row>
    <row r="38" ht="18.75">
      <c r="A38" s="4" t="s">
        <v>138</v>
      </c>
    </row>
    <row r="39" spans="1:7" ht="18.75">
      <c r="A39" s="689" t="s">
        <v>0</v>
      </c>
      <c r="B39" s="690"/>
      <c r="C39" s="690"/>
      <c r="D39" s="699"/>
      <c r="E39" s="444" t="s">
        <v>139</v>
      </c>
      <c r="F39" s="444" t="s">
        <v>40</v>
      </c>
      <c r="G39" s="444" t="s">
        <v>1</v>
      </c>
    </row>
    <row r="40" spans="1:7" s="124" customFormat="1" ht="18.75">
      <c r="A40" s="119" t="s">
        <v>148</v>
      </c>
      <c r="B40" s="510"/>
      <c r="C40" s="510"/>
      <c r="D40" s="510"/>
      <c r="E40" s="511">
        <v>110203</v>
      </c>
      <c r="F40" s="135">
        <f>+ใบผ่านรายการบัญชีมาตรฐาน!G93</f>
        <v>5283063.790000001</v>
      </c>
      <c r="G40" s="135"/>
    </row>
    <row r="41" spans="1:7" s="124" customFormat="1" ht="18.75">
      <c r="A41" s="136"/>
      <c r="B41" s="124" t="s">
        <v>149</v>
      </c>
      <c r="C41" s="519"/>
      <c r="D41" s="519"/>
      <c r="E41" s="511">
        <v>110201</v>
      </c>
      <c r="F41" s="125"/>
      <c r="G41" s="137">
        <f>+F40</f>
        <v>5283063.790000001</v>
      </c>
    </row>
    <row r="42" spans="1:7" s="124" customFormat="1" ht="18.75">
      <c r="A42" s="138"/>
      <c r="B42" s="519"/>
      <c r="C42" s="519"/>
      <c r="D42" s="519"/>
      <c r="E42" s="511"/>
      <c r="F42" s="125"/>
      <c r="G42" s="139"/>
    </row>
    <row r="43" spans="1:7" s="124" customFormat="1" ht="18.75">
      <c r="A43" s="123"/>
      <c r="B43" s="519"/>
      <c r="C43" s="519"/>
      <c r="D43" s="519"/>
      <c r="E43" s="511"/>
      <c r="F43" s="125"/>
      <c r="G43" s="139"/>
    </row>
    <row r="44" spans="1:7" s="124" customFormat="1" ht="18.75">
      <c r="A44" s="123"/>
      <c r="B44" s="519"/>
      <c r="C44" s="519"/>
      <c r="D44" s="519"/>
      <c r="E44" s="511"/>
      <c r="F44" s="125"/>
      <c r="G44" s="139"/>
    </row>
    <row r="45" spans="1:7" s="124" customFormat="1" ht="18.75">
      <c r="A45" s="123"/>
      <c r="B45" s="519"/>
      <c r="C45" s="519"/>
      <c r="D45" s="519"/>
      <c r="E45" s="511"/>
      <c r="F45" s="125"/>
      <c r="G45" s="139"/>
    </row>
    <row r="46" spans="1:7" s="124" customFormat="1" ht="18.75">
      <c r="A46" s="138"/>
      <c r="B46" s="519"/>
      <c r="C46" s="519"/>
      <c r="D46" s="519"/>
      <c r="E46" s="511"/>
      <c r="F46" s="125"/>
      <c r="G46" s="139"/>
    </row>
    <row r="47" spans="1:7" s="124" customFormat="1" ht="18.75">
      <c r="A47" s="138"/>
      <c r="E47" s="511"/>
      <c r="F47" s="125"/>
      <c r="G47" s="125"/>
    </row>
    <row r="48" spans="1:7" s="124" customFormat="1" ht="18.75">
      <c r="A48" s="123"/>
      <c r="E48" s="511"/>
      <c r="F48" s="125"/>
      <c r="G48" s="125"/>
    </row>
    <row r="49" spans="1:7" s="124" customFormat="1" ht="18.75" hidden="1">
      <c r="A49" s="123"/>
      <c r="E49" s="511"/>
      <c r="F49" s="125"/>
      <c r="G49" s="125"/>
    </row>
    <row r="50" spans="1:7" ht="18.75" hidden="1">
      <c r="A50" s="123"/>
      <c r="B50" s="124"/>
      <c r="C50" s="124"/>
      <c r="D50" s="124"/>
      <c r="E50" s="511"/>
      <c r="F50" s="125"/>
      <c r="G50" s="125"/>
    </row>
    <row r="51" spans="1:7" ht="18.75">
      <c r="A51" s="123"/>
      <c r="B51" s="124"/>
      <c r="C51" s="124"/>
      <c r="D51" s="124"/>
      <c r="E51" s="511"/>
      <c r="F51" s="125"/>
      <c r="G51" s="125"/>
    </row>
    <row r="52" spans="1:7" ht="18.75">
      <c r="A52" s="138"/>
      <c r="B52" s="124"/>
      <c r="C52" s="124"/>
      <c r="D52" s="124"/>
      <c r="E52" s="511"/>
      <c r="F52" s="125"/>
      <c r="G52" s="125"/>
    </row>
    <row r="53" spans="1:7" ht="18.75">
      <c r="A53" s="123"/>
      <c r="B53" s="124"/>
      <c r="C53" s="124"/>
      <c r="D53" s="124"/>
      <c r="E53" s="511"/>
      <c r="F53" s="125"/>
      <c r="G53" s="125"/>
    </row>
    <row r="54" spans="1:7" ht="18.75" hidden="1">
      <c r="A54" s="123"/>
      <c r="B54" s="124"/>
      <c r="C54" s="124"/>
      <c r="D54" s="124"/>
      <c r="E54" s="511"/>
      <c r="F54" s="125"/>
      <c r="G54" s="125"/>
    </row>
    <row r="55" spans="1:7" ht="18.75" hidden="1">
      <c r="A55" s="123"/>
      <c r="B55" s="124"/>
      <c r="C55" s="124"/>
      <c r="D55" s="124"/>
      <c r="E55" s="511"/>
      <c r="F55" s="125"/>
      <c r="G55" s="125"/>
    </row>
    <row r="56" spans="1:7" ht="18.75">
      <c r="A56" s="123"/>
      <c r="B56" s="124"/>
      <c r="C56" s="124"/>
      <c r="D56" s="124"/>
      <c r="E56" s="511"/>
      <c r="F56" s="125"/>
      <c r="G56" s="125"/>
    </row>
    <row r="57" spans="1:7" ht="18.75">
      <c r="A57" s="123"/>
      <c r="B57" s="124"/>
      <c r="C57" s="124"/>
      <c r="D57" s="124"/>
      <c r="E57" s="511"/>
      <c r="F57" s="125"/>
      <c r="G57" s="125"/>
    </row>
    <row r="58" spans="1:7" ht="18.75" hidden="1">
      <c r="A58" s="123"/>
      <c r="B58" s="124"/>
      <c r="C58" s="124"/>
      <c r="D58" s="124"/>
      <c r="E58" s="511"/>
      <c r="F58" s="125"/>
      <c r="G58" s="125"/>
    </row>
    <row r="59" spans="1:7" ht="18.75" hidden="1">
      <c r="A59" s="123"/>
      <c r="B59" s="124"/>
      <c r="C59" s="124"/>
      <c r="D59" s="124"/>
      <c r="E59" s="511"/>
      <c r="F59" s="125"/>
      <c r="G59" s="125"/>
    </row>
    <row r="60" spans="1:7" ht="18.75" hidden="1">
      <c r="A60" s="123"/>
      <c r="B60" s="124"/>
      <c r="C60" s="124"/>
      <c r="D60" s="124"/>
      <c r="E60" s="511"/>
      <c r="F60" s="125"/>
      <c r="G60" s="125"/>
    </row>
    <row r="61" spans="1:7" ht="18.75">
      <c r="A61" s="127"/>
      <c r="B61" s="128"/>
      <c r="C61" s="128"/>
      <c r="D61" s="128"/>
      <c r="E61" s="140"/>
      <c r="F61" s="129"/>
      <c r="G61" s="129"/>
    </row>
    <row r="62" spans="6:7" ht="19.5" thickBot="1">
      <c r="F62" s="141">
        <f>SUM(F40:F61)</f>
        <v>5283063.790000001</v>
      </c>
      <c r="G62" s="141">
        <f>SUM(G40:G61)</f>
        <v>5283063.790000001</v>
      </c>
    </row>
    <row r="63" spans="6:7" ht="19.5" thickTop="1">
      <c r="F63" s="3"/>
      <c r="G63" s="3"/>
    </row>
    <row r="64" spans="1:7" ht="18.75">
      <c r="A64" s="4" t="s">
        <v>141</v>
      </c>
      <c r="B64" s="2" t="s">
        <v>151</v>
      </c>
      <c r="F64" s="3"/>
      <c r="G64" s="131"/>
    </row>
    <row r="65" spans="6:7" ht="18.75">
      <c r="F65" s="3"/>
      <c r="G65" s="3"/>
    </row>
    <row r="66" spans="1:7" ht="30" customHeight="1">
      <c r="A66" s="693" t="s">
        <v>144</v>
      </c>
      <c r="B66" s="694"/>
      <c r="C66" s="695"/>
      <c r="D66" s="692" t="s">
        <v>143</v>
      </c>
      <c r="E66" s="692"/>
      <c r="F66" s="692" t="s">
        <v>142</v>
      </c>
      <c r="G66" s="692"/>
    </row>
    <row r="67" spans="1:7" ht="12" customHeight="1">
      <c r="A67" s="123"/>
      <c r="B67" s="124"/>
      <c r="C67" s="126"/>
      <c r="D67" s="123"/>
      <c r="E67" s="126"/>
      <c r="F67" s="123"/>
      <c r="G67" s="126"/>
    </row>
    <row r="68" spans="1:7" ht="18.75">
      <c r="A68" s="123"/>
      <c r="B68" s="124"/>
      <c r="C68" s="126"/>
      <c r="D68" s="123"/>
      <c r="E68" s="126"/>
      <c r="F68" s="123"/>
      <c r="G68" s="126"/>
    </row>
    <row r="69" spans="1:7" ht="18.75">
      <c r="A69" s="696" t="str">
        <f>+A32</f>
        <v>(นางสาววรรณา  ผลบุญ)</v>
      </c>
      <c r="B69" s="697"/>
      <c r="C69" s="698"/>
      <c r="D69" s="696" t="str">
        <f>+D32</f>
        <v>(นางชุติมา  ลอยประเสริฐ)</v>
      </c>
      <c r="E69" s="698"/>
      <c r="F69" s="696" t="str">
        <f>+A69</f>
        <v>(นางสาววรรณา  ผลบุญ)</v>
      </c>
      <c r="G69" s="698"/>
    </row>
    <row r="70" spans="1:7" ht="17.25" customHeight="1">
      <c r="A70" s="696" t="str">
        <f>+A33</f>
        <v>นักวิชาการเงินและบัญชี</v>
      </c>
      <c r="B70" s="697"/>
      <c r="C70" s="698"/>
      <c r="D70" s="696" t="str">
        <f>+D33</f>
        <v>หัวหน้ากองคลัง</v>
      </c>
      <c r="E70" s="698"/>
      <c r="F70" s="696" t="str">
        <f>+A70</f>
        <v>นักวิชาการเงินและบัญชี</v>
      </c>
      <c r="G70" s="698"/>
    </row>
    <row r="71" spans="1:7" ht="18.75">
      <c r="A71" s="127"/>
      <c r="B71" s="128"/>
      <c r="C71" s="133"/>
      <c r="D71" s="687"/>
      <c r="E71" s="688"/>
      <c r="F71" s="127"/>
      <c r="G71" s="133"/>
    </row>
    <row r="72" spans="1:7" ht="18.75">
      <c r="A72" s="124"/>
      <c r="B72" s="124"/>
      <c r="C72" s="124"/>
      <c r="D72" s="512"/>
      <c r="E72" s="512"/>
      <c r="F72" s="124"/>
      <c r="G72" s="124"/>
    </row>
    <row r="73" spans="1:7" ht="18.75">
      <c r="A73" s="124"/>
      <c r="B73" s="124"/>
      <c r="C73" s="124"/>
      <c r="D73" s="124"/>
      <c r="E73" s="124"/>
      <c r="F73" s="124"/>
      <c r="G73" s="160" t="s">
        <v>674</v>
      </c>
    </row>
    <row r="74" spans="1:7" ht="18.75">
      <c r="A74" s="124"/>
      <c r="B74" s="124"/>
      <c r="C74" s="124"/>
      <c r="D74" s="124"/>
      <c r="E74" s="124"/>
      <c r="F74" s="124"/>
      <c r="G74" s="160" t="s">
        <v>669</v>
      </c>
    </row>
    <row r="75" spans="1:7" ht="18.75">
      <c r="A75" s="691" t="s">
        <v>153</v>
      </c>
      <c r="B75" s="691"/>
      <c r="C75" s="691"/>
      <c r="D75" s="691"/>
      <c r="E75" s="691"/>
      <c r="F75" s="691"/>
      <c r="G75" s="691"/>
    </row>
    <row r="76" spans="1:7" ht="18.75">
      <c r="A76" s="161" t="s">
        <v>138</v>
      </c>
      <c r="B76" s="128"/>
      <c r="C76" s="128"/>
      <c r="D76" s="128"/>
      <c r="E76" s="128"/>
      <c r="F76" s="128"/>
      <c r="G76" s="128"/>
    </row>
    <row r="77" spans="1:7" ht="18.75">
      <c r="A77" s="689" t="s">
        <v>0</v>
      </c>
      <c r="B77" s="690"/>
      <c r="C77" s="690"/>
      <c r="D77" s="699"/>
      <c r="E77" s="444" t="s">
        <v>139</v>
      </c>
      <c r="F77" s="444" t="s">
        <v>40</v>
      </c>
      <c r="G77" s="444" t="s">
        <v>1</v>
      </c>
    </row>
    <row r="78" spans="1:15" ht="18.75">
      <c r="A78" s="119" t="s">
        <v>149</v>
      </c>
      <c r="B78" s="510"/>
      <c r="C78" s="510"/>
      <c r="D78" s="510"/>
      <c r="E78" s="511">
        <v>110201</v>
      </c>
      <c r="F78" s="135">
        <v>91.52</v>
      </c>
      <c r="G78" s="135"/>
      <c r="I78" s="124" t="s">
        <v>671</v>
      </c>
      <c r="J78" s="510"/>
      <c r="K78" s="510"/>
      <c r="L78" s="510"/>
      <c r="M78" s="511">
        <v>110201</v>
      </c>
      <c r="N78" s="135">
        <v>6297.22</v>
      </c>
      <c r="O78" s="135"/>
    </row>
    <row r="79" spans="1:15" ht="18.75">
      <c r="A79" s="136"/>
      <c r="B79" s="124" t="s">
        <v>671</v>
      </c>
      <c r="C79" s="124"/>
      <c r="D79" s="124"/>
      <c r="E79" s="511">
        <v>110201</v>
      </c>
      <c r="F79" s="125"/>
      <c r="G79" s="137">
        <f>+F78</f>
        <v>91.52</v>
      </c>
      <c r="I79" s="136"/>
      <c r="J79" s="124"/>
      <c r="K79" s="124"/>
      <c r="L79" s="124"/>
      <c r="M79" s="511">
        <v>110201</v>
      </c>
      <c r="N79" s="125"/>
      <c r="O79" s="137">
        <f>+N78</f>
        <v>6297.22</v>
      </c>
    </row>
    <row r="80" spans="1:7" ht="18.75">
      <c r="A80" s="138"/>
      <c r="B80" s="519"/>
      <c r="C80" s="519"/>
      <c r="D80" s="519"/>
      <c r="E80" s="511"/>
      <c r="F80" s="125"/>
      <c r="G80" s="139"/>
    </row>
    <row r="81" spans="1:7" ht="18.75">
      <c r="A81" s="123"/>
      <c r="B81" s="519"/>
      <c r="C81" s="519"/>
      <c r="D81" s="519"/>
      <c r="E81" s="511"/>
      <c r="F81" s="125"/>
      <c r="G81" s="139"/>
    </row>
    <row r="82" spans="1:7" ht="18.75">
      <c r="A82" s="123"/>
      <c r="B82" s="519"/>
      <c r="C82" s="519"/>
      <c r="D82" s="519"/>
      <c r="E82" s="511"/>
      <c r="F82" s="125"/>
      <c r="G82" s="139"/>
    </row>
    <row r="83" spans="1:7" ht="18.75">
      <c r="A83" s="123"/>
      <c r="B83" s="519"/>
      <c r="C83" s="519"/>
      <c r="D83" s="519"/>
      <c r="E83" s="511"/>
      <c r="F83" s="125"/>
      <c r="G83" s="139"/>
    </row>
    <row r="84" spans="1:9" ht="18.75">
      <c r="A84" s="138"/>
      <c r="B84" s="519"/>
      <c r="C84" s="519"/>
      <c r="D84" s="519"/>
      <c r="E84" s="511"/>
      <c r="F84" s="125"/>
      <c r="G84" s="139"/>
      <c r="I84" s="3">
        <f>2312430.63+30000+45000+2250</f>
        <v>2389680.63</v>
      </c>
    </row>
    <row r="85" spans="1:7" ht="18.75">
      <c r="A85" s="138"/>
      <c r="B85" s="124"/>
      <c r="C85" s="124"/>
      <c r="D85" s="124"/>
      <c r="E85" s="511"/>
      <c r="F85" s="125"/>
      <c r="G85" s="125"/>
    </row>
    <row r="86" spans="1:7" ht="18.75">
      <c r="A86" s="123"/>
      <c r="B86" s="124"/>
      <c r="C86" s="124"/>
      <c r="D86" s="124"/>
      <c r="E86" s="511"/>
      <c r="F86" s="125"/>
      <c r="G86" s="125"/>
    </row>
    <row r="87" spans="1:7" ht="18.75">
      <c r="A87" s="123"/>
      <c r="B87" s="124"/>
      <c r="C87" s="124"/>
      <c r="D87" s="124"/>
      <c r="E87" s="511"/>
      <c r="F87" s="125"/>
      <c r="G87" s="125"/>
    </row>
    <row r="88" spans="1:7" ht="18.75">
      <c r="A88" s="123"/>
      <c r="B88" s="124"/>
      <c r="C88" s="124"/>
      <c r="D88" s="124"/>
      <c r="E88" s="511"/>
      <c r="F88" s="125"/>
      <c r="G88" s="125"/>
    </row>
    <row r="89" spans="1:7" ht="18.75">
      <c r="A89" s="123"/>
      <c r="B89" s="124"/>
      <c r="C89" s="124"/>
      <c r="D89" s="124"/>
      <c r="E89" s="511"/>
      <c r="F89" s="125"/>
      <c r="G89" s="125"/>
    </row>
    <row r="90" spans="1:7" ht="18.75">
      <c r="A90" s="138"/>
      <c r="B90" s="124"/>
      <c r="C90" s="124"/>
      <c r="D90" s="124"/>
      <c r="E90" s="511"/>
      <c r="F90" s="125"/>
      <c r="G90" s="125"/>
    </row>
    <row r="91" spans="1:7" ht="18.75">
      <c r="A91" s="123"/>
      <c r="B91" s="124"/>
      <c r="C91" s="124"/>
      <c r="D91" s="124"/>
      <c r="E91" s="511"/>
      <c r="F91" s="125"/>
      <c r="G91" s="125"/>
    </row>
    <row r="92" spans="1:7" ht="18.75">
      <c r="A92" s="123"/>
      <c r="B92" s="124"/>
      <c r="C92" s="124"/>
      <c r="D92" s="124"/>
      <c r="E92" s="511"/>
      <c r="F92" s="125"/>
      <c r="G92" s="125"/>
    </row>
    <row r="93" spans="1:7" ht="18.75">
      <c r="A93" s="123"/>
      <c r="B93" s="124"/>
      <c r="C93" s="124"/>
      <c r="D93" s="124"/>
      <c r="E93" s="511"/>
      <c r="F93" s="125"/>
      <c r="G93" s="125"/>
    </row>
    <row r="94" spans="1:7" ht="18.75">
      <c r="A94" s="127"/>
      <c r="B94" s="128"/>
      <c r="C94" s="128"/>
      <c r="D94" s="128"/>
      <c r="E94" s="140"/>
      <c r="F94" s="129"/>
      <c r="G94" s="129"/>
    </row>
    <row r="95" spans="6:7" ht="19.5" thickBot="1">
      <c r="F95" s="141">
        <f>SUM(F78:F94)</f>
        <v>91.52</v>
      </c>
      <c r="G95" s="141">
        <f>SUM(G78:G94)</f>
        <v>91.52</v>
      </c>
    </row>
    <row r="96" spans="6:7" ht="19.5" thickTop="1">
      <c r="F96" s="3"/>
      <c r="G96" s="3"/>
    </row>
    <row r="97" spans="1:7" ht="18.75">
      <c r="A97" s="4" t="s">
        <v>141</v>
      </c>
      <c r="B97" s="2" t="s">
        <v>672</v>
      </c>
      <c r="F97" s="3"/>
      <c r="G97" s="131"/>
    </row>
    <row r="98" spans="1:7" ht="18.75">
      <c r="A98" s="2" t="s">
        <v>673</v>
      </c>
      <c r="F98" s="3"/>
      <c r="G98" s="3"/>
    </row>
    <row r="99" spans="1:7" ht="18.75">
      <c r="A99" s="693" t="s">
        <v>144</v>
      </c>
      <c r="B99" s="694"/>
      <c r="C99" s="695"/>
      <c r="D99" s="692" t="s">
        <v>143</v>
      </c>
      <c r="E99" s="692"/>
      <c r="F99" s="692" t="s">
        <v>142</v>
      </c>
      <c r="G99" s="692"/>
    </row>
    <row r="100" spans="1:7" ht="18.75">
      <c r="A100" s="123"/>
      <c r="B100" s="124"/>
      <c r="C100" s="126"/>
      <c r="D100" s="123"/>
      <c r="E100" s="126"/>
      <c r="F100" s="123"/>
      <c r="G100" s="126"/>
    </row>
    <row r="101" spans="1:7" ht="18.75">
      <c r="A101" s="696" t="s">
        <v>351</v>
      </c>
      <c r="B101" s="697"/>
      <c r="C101" s="698"/>
      <c r="D101" s="696" t="s">
        <v>642</v>
      </c>
      <c r="E101" s="698"/>
      <c r="F101" s="696" t="str">
        <f>+A101</f>
        <v>(นางสาววรรณา  ผลบุญ)</v>
      </c>
      <c r="G101" s="698"/>
    </row>
    <row r="102" spans="1:7" ht="18.75">
      <c r="A102" s="696" t="s">
        <v>570</v>
      </c>
      <c r="B102" s="697"/>
      <c r="C102" s="698"/>
      <c r="D102" s="696" t="s">
        <v>36</v>
      </c>
      <c r="E102" s="698"/>
      <c r="F102" s="696" t="str">
        <f>+A102</f>
        <v>นักวิชาการเงินและบัญชี</v>
      </c>
      <c r="G102" s="698"/>
    </row>
    <row r="103" spans="1:7" ht="18.75">
      <c r="A103" s="687"/>
      <c r="B103" s="701"/>
      <c r="C103" s="688"/>
      <c r="D103" s="687"/>
      <c r="E103" s="688"/>
      <c r="F103" s="687"/>
      <c r="G103" s="688"/>
    </row>
    <row r="104" ht="18.75">
      <c r="G104" s="118" t="s">
        <v>432</v>
      </c>
    </row>
    <row r="105" ht="18.75">
      <c r="G105" s="118" t="s">
        <v>433</v>
      </c>
    </row>
    <row r="106" spans="1:7" ht="18.75">
      <c r="A106" s="700" t="s">
        <v>153</v>
      </c>
      <c r="B106" s="700"/>
      <c r="C106" s="700"/>
      <c r="D106" s="700"/>
      <c r="E106" s="700"/>
      <c r="F106" s="700"/>
      <c r="G106" s="700"/>
    </row>
    <row r="107" ht="18.75">
      <c r="A107" s="4" t="s">
        <v>138</v>
      </c>
    </row>
    <row r="108" spans="1:7" ht="18.75">
      <c r="A108" s="517" t="s">
        <v>0</v>
      </c>
      <c r="B108" s="518"/>
      <c r="C108" s="518"/>
      <c r="D108" s="518"/>
      <c r="E108" s="444" t="s">
        <v>139</v>
      </c>
      <c r="F108" s="444" t="s">
        <v>40</v>
      </c>
      <c r="G108" s="444" t="s">
        <v>1</v>
      </c>
    </row>
    <row r="109" spans="1:7" ht="18.75">
      <c r="A109" s="144" t="s">
        <v>413</v>
      </c>
      <c r="B109" s="510"/>
      <c r="C109" s="510"/>
      <c r="D109" s="510"/>
      <c r="E109" s="511">
        <v>230199</v>
      </c>
      <c r="F109" s="135">
        <v>50000</v>
      </c>
      <c r="G109" s="135"/>
    </row>
    <row r="110" spans="1:7" ht="18.75">
      <c r="A110" s="136"/>
      <c r="B110" s="124" t="s">
        <v>414</v>
      </c>
      <c r="E110" s="511">
        <v>110605</v>
      </c>
      <c r="F110" s="145"/>
      <c r="G110" s="125">
        <f>+F109</f>
        <v>50000</v>
      </c>
    </row>
    <row r="111" spans="1:7" ht="18.75">
      <c r="A111" s="138"/>
      <c r="B111" s="124"/>
      <c r="E111" s="146"/>
      <c r="F111" s="145"/>
      <c r="G111" s="125"/>
    </row>
    <row r="112" spans="1:7" ht="18.75">
      <c r="A112" s="138"/>
      <c r="B112" s="124"/>
      <c r="E112" s="145"/>
      <c r="F112" s="145"/>
      <c r="G112" s="125"/>
    </row>
    <row r="113" spans="1:7" ht="18.75" hidden="1">
      <c r="A113" s="138"/>
      <c r="B113" s="124"/>
      <c r="E113" s="145"/>
      <c r="F113" s="145"/>
      <c r="G113" s="125"/>
    </row>
    <row r="114" spans="1:7" ht="18.75" hidden="1">
      <c r="A114" s="123"/>
      <c r="B114" s="124"/>
      <c r="E114" s="145"/>
      <c r="F114" s="145"/>
      <c r="G114" s="125"/>
    </row>
    <row r="115" spans="1:7" ht="18.75" hidden="1">
      <c r="A115" s="123"/>
      <c r="B115" s="124"/>
      <c r="E115" s="145"/>
      <c r="F115" s="145"/>
      <c r="G115" s="125"/>
    </row>
    <row r="116" spans="1:7" ht="18.75">
      <c r="A116" s="123"/>
      <c r="B116" s="124"/>
      <c r="E116" s="145"/>
      <c r="F116" s="145"/>
      <c r="G116" s="125"/>
    </row>
    <row r="117" spans="1:7" ht="18.75">
      <c r="A117" s="123"/>
      <c r="B117" s="124"/>
      <c r="E117" s="145"/>
      <c r="F117" s="145"/>
      <c r="G117" s="125"/>
    </row>
    <row r="118" spans="1:7" ht="18.75">
      <c r="A118" s="123"/>
      <c r="B118" s="124"/>
      <c r="E118" s="145"/>
      <c r="F118" s="145"/>
      <c r="G118" s="125"/>
    </row>
    <row r="119" spans="1:7" ht="18.75" hidden="1">
      <c r="A119" s="123"/>
      <c r="B119" s="124"/>
      <c r="E119" s="145"/>
      <c r="F119" s="145"/>
      <c r="G119" s="125"/>
    </row>
    <row r="120" spans="1:7" ht="18.75" hidden="1">
      <c r="A120" s="123"/>
      <c r="B120" s="124"/>
      <c r="E120" s="145"/>
      <c r="F120" s="145"/>
      <c r="G120" s="125"/>
    </row>
    <row r="121" spans="1:7" ht="18.75">
      <c r="A121" s="123"/>
      <c r="B121" s="124"/>
      <c r="E121" s="145"/>
      <c r="F121" s="145"/>
      <c r="G121" s="125"/>
    </row>
    <row r="122" spans="1:7" ht="18.75">
      <c r="A122" s="123"/>
      <c r="B122" s="124"/>
      <c r="E122" s="145"/>
      <c r="F122" s="145"/>
      <c r="G122" s="125"/>
    </row>
    <row r="123" spans="1:7" ht="18.75">
      <c r="A123" s="123"/>
      <c r="B123" s="124"/>
      <c r="E123" s="145"/>
      <c r="F123" s="145"/>
      <c r="G123" s="125"/>
    </row>
    <row r="124" spans="1:7" ht="18.75">
      <c r="A124" s="123"/>
      <c r="B124" s="124"/>
      <c r="E124" s="145"/>
      <c r="F124" s="145"/>
      <c r="G124" s="125"/>
    </row>
    <row r="125" spans="1:7" ht="18.75">
      <c r="A125" s="123"/>
      <c r="B125" s="124"/>
      <c r="E125" s="145"/>
      <c r="F125" s="145"/>
      <c r="G125" s="125"/>
    </row>
    <row r="126" spans="1:7" ht="18.75">
      <c r="A126" s="127"/>
      <c r="B126" s="128"/>
      <c r="C126" s="128"/>
      <c r="D126" s="128"/>
      <c r="E126" s="127"/>
      <c r="F126" s="129"/>
      <c r="G126" s="129"/>
    </row>
    <row r="127" spans="6:7" ht="19.5" thickBot="1">
      <c r="F127" s="130">
        <f>SUM(F109:F126)</f>
        <v>50000</v>
      </c>
      <c r="G127" s="130">
        <f>SUM(G109:G126)</f>
        <v>50000</v>
      </c>
    </row>
    <row r="128" spans="6:7" ht="19.5" thickTop="1">
      <c r="F128" s="3"/>
      <c r="G128" s="3"/>
    </row>
    <row r="129" spans="1:7" ht="18.75">
      <c r="A129" s="4" t="s">
        <v>141</v>
      </c>
      <c r="B129" s="4" t="s">
        <v>415</v>
      </c>
      <c r="F129" s="3"/>
      <c r="G129" s="131"/>
    </row>
    <row r="130" spans="1:7" ht="18.75">
      <c r="A130" s="4" t="s">
        <v>416</v>
      </c>
      <c r="F130" s="3"/>
      <c r="G130" s="3"/>
    </row>
    <row r="131" spans="1:7" ht="18.75">
      <c r="A131" s="4" t="s">
        <v>439</v>
      </c>
      <c r="B131" s="4"/>
      <c r="F131" s="3"/>
      <c r="G131" s="3"/>
    </row>
    <row r="132" spans="1:7" ht="18.75">
      <c r="A132" s="4"/>
      <c r="B132" s="4"/>
      <c r="F132" s="3"/>
      <c r="G132" s="3"/>
    </row>
    <row r="133" spans="1:7" ht="18.75">
      <c r="A133" s="693" t="s">
        <v>144</v>
      </c>
      <c r="B133" s="694"/>
      <c r="C133" s="695"/>
      <c r="D133" s="692" t="s">
        <v>143</v>
      </c>
      <c r="E133" s="692"/>
      <c r="F133" s="692" t="s">
        <v>142</v>
      </c>
      <c r="G133" s="692"/>
    </row>
    <row r="134" spans="1:7" ht="23.25" customHeight="1">
      <c r="A134" s="123"/>
      <c r="B134" s="124"/>
      <c r="C134" s="126"/>
      <c r="D134" s="123"/>
      <c r="E134" s="126"/>
      <c r="F134" s="123"/>
      <c r="G134" s="126"/>
    </row>
    <row r="135" spans="1:7" ht="18.75">
      <c r="A135" s="696" t="s">
        <v>351</v>
      </c>
      <c r="B135" s="697"/>
      <c r="C135" s="698"/>
      <c r="D135" s="696" t="s">
        <v>33</v>
      </c>
      <c r="E135" s="698"/>
      <c r="F135" s="696" t="str">
        <f>+A135</f>
        <v>(นางสาววรรณา  ผลบุญ)</v>
      </c>
      <c r="G135" s="698"/>
    </row>
    <row r="136" spans="1:7" ht="18.75">
      <c r="A136" s="696" t="s">
        <v>352</v>
      </c>
      <c r="B136" s="697"/>
      <c r="C136" s="698"/>
      <c r="D136" s="696" t="s">
        <v>389</v>
      </c>
      <c r="E136" s="698"/>
      <c r="F136" s="696" t="str">
        <f>+A136</f>
        <v>เจ้าพนักงานการเงินและบัญชี</v>
      </c>
      <c r="G136" s="698"/>
    </row>
    <row r="137" spans="1:7" ht="18.75">
      <c r="A137" s="127"/>
      <c r="B137" s="128"/>
      <c r="C137" s="133"/>
      <c r="D137" s="687" t="s">
        <v>36</v>
      </c>
      <c r="E137" s="688"/>
      <c r="F137" s="127"/>
      <c r="G137" s="133"/>
    </row>
    <row r="141" ht="18.75">
      <c r="G141" s="118" t="s">
        <v>480</v>
      </c>
    </row>
    <row r="142" ht="18.75">
      <c r="G142" s="118" t="s">
        <v>478</v>
      </c>
    </row>
    <row r="143" spans="1:7" ht="18.75">
      <c r="A143" s="700" t="s">
        <v>153</v>
      </c>
      <c r="B143" s="700"/>
      <c r="C143" s="700"/>
      <c r="D143" s="700"/>
      <c r="E143" s="700"/>
      <c r="F143" s="700"/>
      <c r="G143" s="700"/>
    </row>
    <row r="144" ht="18.75">
      <c r="A144" s="4" t="s">
        <v>138</v>
      </c>
    </row>
    <row r="145" spans="1:7" ht="18.75">
      <c r="A145" s="517" t="s">
        <v>0</v>
      </c>
      <c r="B145" s="518"/>
      <c r="C145" s="518"/>
      <c r="D145" s="518"/>
      <c r="E145" s="444" t="s">
        <v>139</v>
      </c>
      <c r="F145" s="444" t="s">
        <v>40</v>
      </c>
      <c r="G145" s="444" t="s">
        <v>1</v>
      </c>
    </row>
    <row r="146" spans="1:7" ht="18.75">
      <c r="A146" s="144" t="s">
        <v>448</v>
      </c>
      <c r="B146" s="510"/>
      <c r="C146" s="510"/>
      <c r="D146" s="510"/>
      <c r="E146" s="147">
        <v>410000</v>
      </c>
      <c r="F146" s="135">
        <v>60000</v>
      </c>
      <c r="G146" s="135"/>
    </row>
    <row r="147" spans="1:7" ht="18.75">
      <c r="A147" s="136"/>
      <c r="B147" s="124" t="s">
        <v>152</v>
      </c>
      <c r="E147" s="146">
        <v>110606</v>
      </c>
      <c r="F147" s="145"/>
      <c r="G147" s="125">
        <f>+F146</f>
        <v>60000</v>
      </c>
    </row>
    <row r="148" spans="1:13" ht="18.75">
      <c r="A148" s="138"/>
      <c r="B148" s="124"/>
      <c r="E148" s="145"/>
      <c r="F148" s="145"/>
      <c r="G148" s="125"/>
      <c r="M148" s="2">
        <f>21280/2</f>
        <v>10640</v>
      </c>
    </row>
    <row r="149" spans="1:7" ht="18.75">
      <c r="A149" s="138"/>
      <c r="B149" s="124"/>
      <c r="E149" s="145"/>
      <c r="F149" s="145"/>
      <c r="G149" s="125"/>
    </row>
    <row r="150" spans="1:7" ht="18.75">
      <c r="A150" s="138"/>
      <c r="B150" s="124"/>
      <c r="E150" s="145"/>
      <c r="F150" s="145"/>
      <c r="G150" s="125"/>
    </row>
    <row r="151" spans="1:7" ht="18.75">
      <c r="A151" s="123"/>
      <c r="B151" s="124"/>
      <c r="E151" s="145"/>
      <c r="F151" s="145"/>
      <c r="G151" s="125"/>
    </row>
    <row r="152" spans="1:7" ht="18.75">
      <c r="A152" s="123"/>
      <c r="B152" s="124"/>
      <c r="E152" s="145"/>
      <c r="F152" s="145"/>
      <c r="G152" s="125"/>
    </row>
    <row r="153" spans="1:7" ht="18.75">
      <c r="A153" s="123"/>
      <c r="B153" s="124"/>
      <c r="E153" s="145"/>
      <c r="F153" s="145"/>
      <c r="G153" s="125"/>
    </row>
    <row r="154" spans="1:7" ht="18.75">
      <c r="A154" s="123"/>
      <c r="B154" s="124"/>
      <c r="E154" s="145"/>
      <c r="F154" s="145"/>
      <c r="G154" s="125"/>
    </row>
    <row r="155" spans="1:7" ht="18.75">
      <c r="A155" s="123"/>
      <c r="B155" s="124"/>
      <c r="E155" s="145"/>
      <c r="F155" s="145"/>
      <c r="G155" s="125"/>
    </row>
    <row r="156" spans="1:7" ht="18.75">
      <c r="A156" s="123"/>
      <c r="B156" s="124"/>
      <c r="E156" s="145"/>
      <c r="F156" s="145"/>
      <c r="G156" s="125"/>
    </row>
    <row r="157" spans="1:7" ht="18.75">
      <c r="A157" s="123"/>
      <c r="B157" s="124"/>
      <c r="E157" s="145"/>
      <c r="F157" s="145"/>
      <c r="G157" s="125"/>
    </row>
    <row r="158" spans="1:7" ht="18.75">
      <c r="A158" s="123"/>
      <c r="B158" s="124"/>
      <c r="E158" s="145"/>
      <c r="F158" s="145"/>
      <c r="G158" s="125"/>
    </row>
    <row r="159" spans="1:7" ht="18.75">
      <c r="A159" s="123"/>
      <c r="B159" s="124"/>
      <c r="E159" s="145"/>
      <c r="F159" s="145"/>
      <c r="G159" s="125"/>
    </row>
    <row r="160" spans="1:7" ht="18.75">
      <c r="A160" s="123"/>
      <c r="B160" s="124"/>
      <c r="E160" s="145"/>
      <c r="F160" s="145"/>
      <c r="G160" s="125"/>
    </row>
    <row r="161" spans="1:7" ht="18.75">
      <c r="A161" s="123"/>
      <c r="B161" s="124"/>
      <c r="E161" s="145"/>
      <c r="F161" s="145"/>
      <c r="G161" s="125"/>
    </row>
    <row r="162" spans="1:7" ht="18.75">
      <c r="A162" s="127"/>
      <c r="B162" s="128"/>
      <c r="C162" s="128"/>
      <c r="D162" s="128"/>
      <c r="E162" s="127"/>
      <c r="F162" s="129"/>
      <c r="G162" s="129"/>
    </row>
    <row r="163" spans="6:7" ht="19.5" thickBot="1">
      <c r="F163" s="130">
        <f>SUM(F146:F162)</f>
        <v>60000</v>
      </c>
      <c r="G163" s="130">
        <f>SUM(G146:G162)</f>
        <v>60000</v>
      </c>
    </row>
    <row r="164" spans="6:7" ht="19.5" thickTop="1">
      <c r="F164" s="3"/>
      <c r="G164" s="3"/>
    </row>
    <row r="165" spans="1:7" ht="18.75">
      <c r="A165" s="4" t="s">
        <v>141</v>
      </c>
      <c r="B165" s="4" t="s">
        <v>481</v>
      </c>
      <c r="F165" s="3"/>
      <c r="G165" s="131"/>
    </row>
    <row r="166" spans="2:7" ht="18.75">
      <c r="B166" s="4" t="s">
        <v>482</v>
      </c>
      <c r="F166" s="3"/>
      <c r="G166" s="3"/>
    </row>
    <row r="167" spans="2:7" ht="18.75" hidden="1">
      <c r="B167" s="4"/>
      <c r="F167" s="3"/>
      <c r="G167" s="3"/>
    </row>
    <row r="168" spans="2:7" ht="18.75">
      <c r="B168" s="4"/>
      <c r="F168" s="3"/>
      <c r="G168" s="3"/>
    </row>
    <row r="169" spans="1:7" ht="18.75">
      <c r="A169" s="693" t="s">
        <v>144</v>
      </c>
      <c r="B169" s="694"/>
      <c r="C169" s="695"/>
      <c r="D169" s="692" t="s">
        <v>143</v>
      </c>
      <c r="E169" s="692"/>
      <c r="F169" s="692" t="s">
        <v>142</v>
      </c>
      <c r="G169" s="692"/>
    </row>
    <row r="170" spans="1:7" ht="9" customHeight="1">
      <c r="A170" s="123"/>
      <c r="B170" s="124"/>
      <c r="C170" s="126"/>
      <c r="D170" s="123"/>
      <c r="E170" s="126"/>
      <c r="F170" s="123"/>
      <c r="G170" s="126"/>
    </row>
    <row r="171" spans="1:7" ht="18.75">
      <c r="A171" s="123"/>
      <c r="B171" s="124"/>
      <c r="C171" s="126"/>
      <c r="D171" s="123"/>
      <c r="E171" s="126"/>
      <c r="F171" s="123"/>
      <c r="G171" s="126"/>
    </row>
    <row r="172" spans="1:7" ht="18.75">
      <c r="A172" s="696" t="s">
        <v>351</v>
      </c>
      <c r="B172" s="697"/>
      <c r="C172" s="698"/>
      <c r="D172" s="696" t="s">
        <v>412</v>
      </c>
      <c r="E172" s="698"/>
      <c r="F172" s="696" t="str">
        <f>+A172</f>
        <v>(นางสาววรรณา  ผลบุญ)</v>
      </c>
      <c r="G172" s="698"/>
    </row>
    <row r="173" spans="1:7" ht="18.75">
      <c r="A173" s="696" t="s">
        <v>352</v>
      </c>
      <c r="B173" s="697"/>
      <c r="C173" s="698"/>
      <c r="D173" s="696" t="s">
        <v>389</v>
      </c>
      <c r="E173" s="698"/>
      <c r="F173" s="696" t="str">
        <f>+A173</f>
        <v>เจ้าพนักงานการเงินและบัญชี</v>
      </c>
      <c r="G173" s="698"/>
    </row>
    <row r="174" spans="1:7" ht="18.75">
      <c r="A174" s="127"/>
      <c r="B174" s="128"/>
      <c r="C174" s="133"/>
      <c r="D174" s="687" t="s">
        <v>36</v>
      </c>
      <c r="E174" s="688"/>
      <c r="F174" s="127"/>
      <c r="G174" s="133"/>
    </row>
    <row r="175" ht="18.75">
      <c r="G175" s="118" t="s">
        <v>483</v>
      </c>
    </row>
    <row r="176" ht="18.75">
      <c r="G176" s="118" t="s">
        <v>478</v>
      </c>
    </row>
    <row r="177" spans="1:7" ht="18.75">
      <c r="A177" s="700" t="s">
        <v>153</v>
      </c>
      <c r="B177" s="700"/>
      <c r="C177" s="700"/>
      <c r="D177" s="700"/>
      <c r="E177" s="700"/>
      <c r="F177" s="700"/>
      <c r="G177" s="700"/>
    </row>
    <row r="178" ht="18.75">
      <c r="A178" s="4" t="s">
        <v>138</v>
      </c>
    </row>
    <row r="179" spans="1:7" ht="18.75">
      <c r="A179" s="517" t="s">
        <v>0</v>
      </c>
      <c r="B179" s="518"/>
      <c r="C179" s="518"/>
      <c r="D179" s="518"/>
      <c r="E179" s="444" t="s">
        <v>139</v>
      </c>
      <c r="F179" s="444" t="s">
        <v>40</v>
      </c>
      <c r="G179" s="444" t="s">
        <v>1</v>
      </c>
    </row>
    <row r="180" spans="1:7" ht="18.75">
      <c r="A180" s="144" t="s">
        <v>449</v>
      </c>
      <c r="B180" s="510"/>
      <c r="C180" s="510"/>
      <c r="D180" s="510"/>
      <c r="E180" s="147">
        <v>410000</v>
      </c>
      <c r="F180" s="135">
        <v>36000</v>
      </c>
      <c r="G180" s="135"/>
    </row>
    <row r="181" spans="1:7" ht="18.75">
      <c r="A181" s="136"/>
      <c r="B181" s="124" t="s">
        <v>152</v>
      </c>
      <c r="E181" s="146">
        <v>110606</v>
      </c>
      <c r="F181" s="145"/>
      <c r="G181" s="125">
        <f>+F180</f>
        <v>36000</v>
      </c>
    </row>
    <row r="182" spans="1:7" ht="18.75">
      <c r="A182" s="138"/>
      <c r="B182" s="124"/>
      <c r="E182" s="145"/>
      <c r="F182" s="145"/>
      <c r="G182" s="125"/>
    </row>
    <row r="183" spans="1:7" ht="18.75">
      <c r="A183" s="138"/>
      <c r="B183" s="124"/>
      <c r="E183" s="145"/>
      <c r="F183" s="145"/>
      <c r="G183" s="125"/>
    </row>
    <row r="184" spans="1:7" ht="18.75">
      <c r="A184" s="138"/>
      <c r="B184" s="124"/>
      <c r="E184" s="145"/>
      <c r="F184" s="145"/>
      <c r="G184" s="125"/>
    </row>
    <row r="185" spans="1:7" ht="18.75">
      <c r="A185" s="123"/>
      <c r="B185" s="124"/>
      <c r="E185" s="145"/>
      <c r="F185" s="145"/>
      <c r="G185" s="125"/>
    </row>
    <row r="186" spans="1:7" ht="18.75">
      <c r="A186" s="123"/>
      <c r="B186" s="124"/>
      <c r="E186" s="145"/>
      <c r="F186" s="145"/>
      <c r="G186" s="125"/>
    </row>
    <row r="187" spans="1:7" ht="18.75">
      <c r="A187" s="123"/>
      <c r="B187" s="124"/>
      <c r="E187" s="145"/>
      <c r="F187" s="145"/>
      <c r="G187" s="125"/>
    </row>
    <row r="188" spans="1:7" ht="18.75">
      <c r="A188" s="123"/>
      <c r="B188" s="124"/>
      <c r="E188" s="145"/>
      <c r="F188" s="145"/>
      <c r="G188" s="125"/>
    </row>
    <row r="189" spans="1:7" ht="18.75">
      <c r="A189" s="123"/>
      <c r="B189" s="124"/>
      <c r="E189" s="145"/>
      <c r="F189" s="145"/>
      <c r="G189" s="125"/>
    </row>
    <row r="190" spans="1:7" ht="18.75">
      <c r="A190" s="123"/>
      <c r="B190" s="124"/>
      <c r="E190" s="145"/>
      <c r="F190" s="145"/>
      <c r="G190" s="125"/>
    </row>
    <row r="191" spans="1:7" ht="18.75">
      <c r="A191" s="123"/>
      <c r="B191" s="124"/>
      <c r="E191" s="145"/>
      <c r="F191" s="145"/>
      <c r="G191" s="125"/>
    </row>
    <row r="192" spans="1:7" ht="18.75">
      <c r="A192" s="123"/>
      <c r="B192" s="124"/>
      <c r="E192" s="145"/>
      <c r="F192" s="145"/>
      <c r="G192" s="125"/>
    </row>
    <row r="193" spans="1:7" ht="18.75">
      <c r="A193" s="123"/>
      <c r="B193" s="124"/>
      <c r="E193" s="145"/>
      <c r="F193" s="145"/>
      <c r="G193" s="125"/>
    </row>
    <row r="194" spans="1:7" ht="18.75">
      <c r="A194" s="123"/>
      <c r="B194" s="124"/>
      <c r="E194" s="145"/>
      <c r="F194" s="145"/>
      <c r="G194" s="125"/>
    </row>
    <row r="195" spans="1:7" ht="18.75">
      <c r="A195" s="123"/>
      <c r="B195" s="124"/>
      <c r="E195" s="145"/>
      <c r="F195" s="145"/>
      <c r="G195" s="125"/>
    </row>
    <row r="196" spans="1:7" ht="18.75">
      <c r="A196" s="127"/>
      <c r="B196" s="128"/>
      <c r="C196" s="128"/>
      <c r="D196" s="128"/>
      <c r="E196" s="127"/>
      <c r="F196" s="129"/>
      <c r="G196" s="129"/>
    </row>
    <row r="197" spans="6:7" ht="19.5" thickBot="1">
      <c r="F197" s="130">
        <f>SUM(F180:F196)</f>
        <v>36000</v>
      </c>
      <c r="G197" s="130">
        <f>SUM(G180:G196)</f>
        <v>36000</v>
      </c>
    </row>
    <row r="198" spans="6:7" ht="19.5" thickTop="1">
      <c r="F198" s="3"/>
      <c r="G198" s="3"/>
    </row>
    <row r="199" spans="1:7" ht="18.75">
      <c r="A199" s="4" t="s">
        <v>141</v>
      </c>
      <c r="B199" s="4" t="s">
        <v>484</v>
      </c>
      <c r="F199" s="3"/>
      <c r="G199" s="131"/>
    </row>
    <row r="200" spans="1:7" ht="18.75">
      <c r="A200" s="4" t="s">
        <v>485</v>
      </c>
      <c r="F200" s="3"/>
      <c r="G200" s="3"/>
    </row>
    <row r="201" spans="2:7" ht="18.75">
      <c r="B201" s="4"/>
      <c r="F201" s="3"/>
      <c r="G201" s="3"/>
    </row>
    <row r="202" spans="1:7" ht="30" customHeight="1">
      <c r="A202" s="693" t="s">
        <v>144</v>
      </c>
      <c r="B202" s="694"/>
      <c r="C202" s="695"/>
      <c r="D202" s="692" t="s">
        <v>143</v>
      </c>
      <c r="E202" s="692"/>
      <c r="F202" s="692" t="s">
        <v>142</v>
      </c>
      <c r="G202" s="692"/>
    </row>
    <row r="203" spans="1:7" ht="14.25" customHeight="1">
      <c r="A203" s="123"/>
      <c r="B203" s="124"/>
      <c r="C203" s="126"/>
      <c r="D203" s="123"/>
      <c r="E203" s="126"/>
      <c r="F203" s="123"/>
      <c r="G203" s="126"/>
    </row>
    <row r="204" spans="1:7" ht="15.75" customHeight="1">
      <c r="A204" s="123"/>
      <c r="B204" s="124"/>
      <c r="C204" s="126"/>
      <c r="D204" s="123"/>
      <c r="E204" s="126"/>
      <c r="F204" s="123"/>
      <c r="G204" s="126"/>
    </row>
    <row r="205" spans="1:7" ht="18.75">
      <c r="A205" s="696" t="s">
        <v>351</v>
      </c>
      <c r="B205" s="697"/>
      <c r="C205" s="698"/>
      <c r="D205" s="696" t="s">
        <v>33</v>
      </c>
      <c r="E205" s="698"/>
      <c r="F205" s="696" t="str">
        <f>+A205</f>
        <v>(นางสาววรรณา  ผลบุญ)</v>
      </c>
      <c r="G205" s="698"/>
    </row>
    <row r="206" spans="1:7" ht="18.75">
      <c r="A206" s="696" t="s">
        <v>352</v>
      </c>
      <c r="B206" s="697"/>
      <c r="C206" s="698"/>
      <c r="D206" s="696" t="s">
        <v>389</v>
      </c>
      <c r="E206" s="698"/>
      <c r="F206" s="696" t="str">
        <f>+A206</f>
        <v>เจ้าพนักงานการเงินและบัญชี</v>
      </c>
      <c r="G206" s="698"/>
    </row>
    <row r="207" spans="1:7" ht="18.75">
      <c r="A207" s="127"/>
      <c r="B207" s="128"/>
      <c r="C207" s="133"/>
      <c r="D207" s="687" t="s">
        <v>36</v>
      </c>
      <c r="E207" s="688"/>
      <c r="F207" s="127"/>
      <c r="G207" s="133"/>
    </row>
    <row r="208" ht="18.75">
      <c r="G208" s="118" t="s">
        <v>486</v>
      </c>
    </row>
    <row r="209" ht="18.75">
      <c r="G209" s="509" t="s">
        <v>479</v>
      </c>
    </row>
    <row r="210" spans="1:7" ht="18.75">
      <c r="A210" s="700" t="s">
        <v>153</v>
      </c>
      <c r="B210" s="700"/>
      <c r="C210" s="700"/>
      <c r="D210" s="700"/>
      <c r="E210" s="700"/>
      <c r="F210" s="700"/>
      <c r="G210" s="700"/>
    </row>
    <row r="211" ht="18.75">
      <c r="A211" s="4" t="s">
        <v>138</v>
      </c>
    </row>
    <row r="212" spans="1:7" ht="18.75">
      <c r="A212" s="517" t="s">
        <v>0</v>
      </c>
      <c r="B212" s="518"/>
      <c r="C212" s="518"/>
      <c r="D212" s="518"/>
      <c r="E212" s="444" t="s">
        <v>139</v>
      </c>
      <c r="F212" s="444" t="s">
        <v>40</v>
      </c>
      <c r="G212" s="444" t="s">
        <v>1</v>
      </c>
    </row>
    <row r="213" spans="1:7" ht="18.75">
      <c r="A213" s="144" t="s">
        <v>64</v>
      </c>
      <c r="B213" s="510"/>
      <c r="C213" s="510"/>
      <c r="D213" s="510"/>
      <c r="E213" s="147">
        <v>414006</v>
      </c>
      <c r="F213" s="135">
        <v>450</v>
      </c>
      <c r="G213" s="135"/>
    </row>
    <row r="214" spans="1:7" ht="18.75">
      <c r="A214" s="136"/>
      <c r="B214" s="124" t="s">
        <v>60</v>
      </c>
      <c r="E214" s="146">
        <v>110604</v>
      </c>
      <c r="F214" s="145"/>
      <c r="G214" s="125">
        <f>+F213</f>
        <v>450</v>
      </c>
    </row>
    <row r="215" spans="1:7" ht="18.75">
      <c r="A215" s="138"/>
      <c r="B215" s="124"/>
      <c r="E215" s="145"/>
      <c r="F215" s="145"/>
      <c r="G215" s="125"/>
    </row>
    <row r="216" spans="1:7" ht="18.75">
      <c r="A216" s="138"/>
      <c r="B216" s="124"/>
      <c r="E216" s="145"/>
      <c r="F216" s="145"/>
      <c r="G216" s="125"/>
    </row>
    <row r="217" spans="1:7" ht="18.75">
      <c r="A217" s="138"/>
      <c r="B217" s="124"/>
      <c r="E217" s="145"/>
      <c r="F217" s="145"/>
      <c r="G217" s="125"/>
    </row>
    <row r="218" spans="1:7" ht="18.75">
      <c r="A218" s="123"/>
      <c r="B218" s="124"/>
      <c r="E218" s="145"/>
      <c r="F218" s="145"/>
      <c r="G218" s="125"/>
    </row>
    <row r="219" spans="1:7" ht="18.75">
      <c r="A219" s="123"/>
      <c r="B219" s="124"/>
      <c r="E219" s="145"/>
      <c r="F219" s="145"/>
      <c r="G219" s="125"/>
    </row>
    <row r="220" spans="1:7" ht="18.75">
      <c r="A220" s="123"/>
      <c r="B220" s="124"/>
      <c r="E220" s="145"/>
      <c r="F220" s="145"/>
      <c r="G220" s="125"/>
    </row>
    <row r="221" spans="1:7" ht="18.75">
      <c r="A221" s="123"/>
      <c r="B221" s="124"/>
      <c r="E221" s="145"/>
      <c r="F221" s="145"/>
      <c r="G221" s="125"/>
    </row>
    <row r="222" spans="1:7" ht="18.75">
      <c r="A222" s="123"/>
      <c r="B222" s="124"/>
      <c r="E222" s="145"/>
      <c r="F222" s="145"/>
      <c r="G222" s="125"/>
    </row>
    <row r="223" spans="1:7" ht="18.75">
      <c r="A223" s="123"/>
      <c r="B223" s="124"/>
      <c r="E223" s="145"/>
      <c r="F223" s="145"/>
      <c r="G223" s="125"/>
    </row>
    <row r="224" spans="1:7" ht="18.75">
      <c r="A224" s="123"/>
      <c r="B224" s="124"/>
      <c r="E224" s="145"/>
      <c r="F224" s="145"/>
      <c r="G224" s="125"/>
    </row>
    <row r="225" spans="1:7" ht="18.75">
      <c r="A225" s="123"/>
      <c r="B225" s="124"/>
      <c r="E225" s="145"/>
      <c r="F225" s="145"/>
      <c r="G225" s="125"/>
    </row>
    <row r="226" spans="1:7" ht="18.75">
      <c r="A226" s="123"/>
      <c r="B226" s="124"/>
      <c r="E226" s="145"/>
      <c r="F226" s="145"/>
      <c r="G226" s="125"/>
    </row>
    <row r="227" spans="1:7" ht="18.75">
      <c r="A227" s="123"/>
      <c r="B227" s="124"/>
      <c r="E227" s="145"/>
      <c r="F227" s="145"/>
      <c r="G227" s="125"/>
    </row>
    <row r="228" spans="1:7" ht="18.75">
      <c r="A228" s="123"/>
      <c r="B228" s="124"/>
      <c r="E228" s="145"/>
      <c r="F228" s="145"/>
      <c r="G228" s="125"/>
    </row>
    <row r="229" spans="1:7" ht="18.75">
      <c r="A229" s="123"/>
      <c r="B229" s="124"/>
      <c r="E229" s="145"/>
      <c r="F229" s="145"/>
      <c r="G229" s="125"/>
    </row>
    <row r="230" spans="1:7" ht="18.75">
      <c r="A230" s="127"/>
      <c r="B230" s="128"/>
      <c r="C230" s="128"/>
      <c r="D230" s="128"/>
      <c r="E230" s="127"/>
      <c r="F230" s="129"/>
      <c r="G230" s="129"/>
    </row>
    <row r="231" spans="6:7" ht="19.5" thickBot="1">
      <c r="F231" s="130">
        <f>SUM(F213:F230)</f>
        <v>450</v>
      </c>
      <c r="G231" s="130">
        <f>SUM(G213:G230)</f>
        <v>450</v>
      </c>
    </row>
    <row r="232" spans="6:7" ht="19.5" thickTop="1">
      <c r="F232" s="3"/>
      <c r="G232" s="3"/>
    </row>
    <row r="233" spans="1:7" ht="18.75">
      <c r="A233" s="4" t="s">
        <v>141</v>
      </c>
      <c r="B233" s="4" t="s">
        <v>487</v>
      </c>
      <c r="F233" s="3"/>
      <c r="G233" s="131"/>
    </row>
    <row r="234" spans="1:7" ht="18.75">
      <c r="A234" s="4" t="s">
        <v>488</v>
      </c>
      <c r="B234" s="4"/>
      <c r="F234" s="3"/>
      <c r="G234" s="131"/>
    </row>
    <row r="235" spans="2:7" ht="18.75">
      <c r="B235" s="4"/>
      <c r="F235" s="3"/>
      <c r="G235" s="3"/>
    </row>
    <row r="236" spans="1:7" ht="18.75">
      <c r="A236" s="693" t="s">
        <v>144</v>
      </c>
      <c r="B236" s="694"/>
      <c r="C236" s="695"/>
      <c r="D236" s="692" t="s">
        <v>143</v>
      </c>
      <c r="E236" s="692"/>
      <c r="F236" s="692" t="s">
        <v>142</v>
      </c>
      <c r="G236" s="692"/>
    </row>
    <row r="237" spans="1:7" ht="18.75">
      <c r="A237" s="123"/>
      <c r="B237" s="124"/>
      <c r="C237" s="126"/>
      <c r="D237" s="123"/>
      <c r="E237" s="126"/>
      <c r="F237" s="123"/>
      <c r="G237" s="126"/>
    </row>
    <row r="238" spans="1:7" ht="18.75">
      <c r="A238" s="696" t="s">
        <v>351</v>
      </c>
      <c r="B238" s="697"/>
      <c r="C238" s="698"/>
      <c r="D238" s="696" t="s">
        <v>33</v>
      </c>
      <c r="E238" s="698"/>
      <c r="F238" s="696" t="str">
        <f>+A238</f>
        <v>(นางสาววรรณา  ผลบุญ)</v>
      </c>
      <c r="G238" s="698"/>
    </row>
    <row r="239" spans="1:7" ht="18.75">
      <c r="A239" s="696" t="s">
        <v>352</v>
      </c>
      <c r="B239" s="697"/>
      <c r="C239" s="698"/>
      <c r="D239" s="696" t="s">
        <v>389</v>
      </c>
      <c r="E239" s="698"/>
      <c r="F239" s="696" t="str">
        <f>+A239</f>
        <v>เจ้าพนักงานการเงินและบัญชี</v>
      </c>
      <c r="G239" s="698"/>
    </row>
    <row r="240" spans="1:7" ht="18.75">
      <c r="A240" s="127"/>
      <c r="B240" s="128"/>
      <c r="C240" s="133"/>
      <c r="D240" s="687" t="s">
        <v>36</v>
      </c>
      <c r="E240" s="688"/>
      <c r="F240" s="127"/>
      <c r="G240" s="133"/>
    </row>
    <row r="241" ht="18.75">
      <c r="G241" s="118" t="s">
        <v>394</v>
      </c>
    </row>
    <row r="242" ht="18.75">
      <c r="G242" s="509" t="s">
        <v>392</v>
      </c>
    </row>
    <row r="243" spans="1:7" ht="18.75">
      <c r="A243" s="700" t="s">
        <v>153</v>
      </c>
      <c r="B243" s="700"/>
      <c r="C243" s="700"/>
      <c r="D243" s="700"/>
      <c r="E243" s="700"/>
      <c r="F243" s="700"/>
      <c r="G243" s="700"/>
    </row>
    <row r="244" ht="18.75">
      <c r="A244" s="4" t="s">
        <v>138</v>
      </c>
    </row>
    <row r="245" spans="1:7" ht="18.75">
      <c r="A245" s="517" t="s">
        <v>0</v>
      </c>
      <c r="B245" s="518"/>
      <c r="C245" s="518"/>
      <c r="D245" s="518"/>
      <c r="E245" s="444" t="s">
        <v>139</v>
      </c>
      <c r="F245" s="444" t="s">
        <v>40</v>
      </c>
      <c r="G245" s="444" t="s">
        <v>1</v>
      </c>
    </row>
    <row r="246" spans="1:7" ht="18.75">
      <c r="A246" s="144" t="s">
        <v>395</v>
      </c>
      <c r="B246" s="510"/>
      <c r="C246" s="510"/>
      <c r="D246" s="510"/>
      <c r="E246" s="147">
        <v>110201</v>
      </c>
      <c r="F246" s="135">
        <v>19240</v>
      </c>
      <c r="G246" s="135"/>
    </row>
    <row r="247" spans="1:7" ht="18.75">
      <c r="A247" s="136"/>
      <c r="B247" s="124" t="s">
        <v>15</v>
      </c>
      <c r="E247" s="146">
        <v>300000</v>
      </c>
      <c r="F247" s="145"/>
      <c r="G247" s="125">
        <f>+F246</f>
        <v>19240</v>
      </c>
    </row>
    <row r="248" spans="1:7" ht="18.75">
      <c r="A248" s="138"/>
      <c r="B248" s="124"/>
      <c r="E248" s="145"/>
      <c r="F248" s="145"/>
      <c r="G248" s="125"/>
    </row>
    <row r="249" spans="1:7" ht="18.75">
      <c r="A249" s="138"/>
      <c r="B249" s="124"/>
      <c r="E249" s="145"/>
      <c r="F249" s="145"/>
      <c r="G249" s="125"/>
    </row>
    <row r="250" spans="1:7" ht="18.75">
      <c r="A250" s="138"/>
      <c r="B250" s="124"/>
      <c r="E250" s="145"/>
      <c r="F250" s="145"/>
      <c r="G250" s="125"/>
    </row>
    <row r="251" spans="1:7" ht="18.75">
      <c r="A251" s="123"/>
      <c r="B251" s="124"/>
      <c r="E251" s="145"/>
      <c r="F251" s="145"/>
      <c r="G251" s="125"/>
    </row>
    <row r="252" spans="1:7" ht="18.75">
      <c r="A252" s="123"/>
      <c r="B252" s="124"/>
      <c r="E252" s="145"/>
      <c r="F252" s="145"/>
      <c r="G252" s="125"/>
    </row>
    <row r="253" spans="1:7" ht="18.75">
      <c r="A253" s="123"/>
      <c r="B253" s="124"/>
      <c r="E253" s="145"/>
      <c r="F253" s="145"/>
      <c r="G253" s="125"/>
    </row>
    <row r="254" spans="1:7" ht="18.75">
      <c r="A254" s="123"/>
      <c r="B254" s="124"/>
      <c r="E254" s="145"/>
      <c r="F254" s="145"/>
      <c r="G254" s="125"/>
    </row>
    <row r="255" spans="1:7" ht="18.75">
      <c r="A255" s="123"/>
      <c r="B255" s="124"/>
      <c r="E255" s="145"/>
      <c r="F255" s="145"/>
      <c r="G255" s="125"/>
    </row>
    <row r="256" spans="1:7" ht="18.75">
      <c r="A256" s="123"/>
      <c r="B256" s="124"/>
      <c r="E256" s="145"/>
      <c r="F256" s="145"/>
      <c r="G256" s="125"/>
    </row>
    <row r="257" spans="1:7" ht="18.75">
      <c r="A257" s="127"/>
      <c r="B257" s="128"/>
      <c r="C257" s="128"/>
      <c r="D257" s="128"/>
      <c r="E257" s="127"/>
      <c r="F257" s="129"/>
      <c r="G257" s="129"/>
    </row>
    <row r="258" spans="6:7" ht="19.5" thickBot="1">
      <c r="F258" s="130">
        <f>SUM(F246:F257)</f>
        <v>19240</v>
      </c>
      <c r="G258" s="130">
        <f>SUM(G246:G257)</f>
        <v>19240</v>
      </c>
    </row>
    <row r="259" spans="6:7" ht="19.5" thickTop="1">
      <c r="F259" s="3"/>
      <c r="G259" s="3"/>
    </row>
    <row r="260" spans="1:7" ht="18.75">
      <c r="A260" s="4" t="s">
        <v>141</v>
      </c>
      <c r="B260" s="4" t="s">
        <v>396</v>
      </c>
      <c r="F260" s="3"/>
      <c r="G260" s="131"/>
    </row>
    <row r="261" spans="1:7" ht="18.75">
      <c r="A261" s="4"/>
      <c r="B261" s="4" t="s">
        <v>397</v>
      </c>
      <c r="F261" s="3"/>
      <c r="G261" s="131"/>
    </row>
    <row r="262" spans="1:7" ht="18.75">
      <c r="A262" s="4"/>
      <c r="B262" s="4" t="s">
        <v>405</v>
      </c>
      <c r="F262" s="3"/>
      <c r="G262" s="131"/>
    </row>
    <row r="263" spans="1:7" ht="18.75">
      <c r="A263" s="4"/>
      <c r="B263" s="4" t="s">
        <v>398</v>
      </c>
      <c r="F263" s="3"/>
      <c r="G263" s="131"/>
    </row>
    <row r="264" spans="1:7" ht="18.75">
      <c r="A264" s="4"/>
      <c r="B264" s="4" t="s">
        <v>405</v>
      </c>
      <c r="F264" s="3"/>
      <c r="G264" s="131"/>
    </row>
    <row r="265" spans="1:7" ht="18.75">
      <c r="A265" s="4"/>
      <c r="B265" s="4" t="s">
        <v>399</v>
      </c>
      <c r="F265" s="3"/>
      <c r="G265" s="131"/>
    </row>
    <row r="266" spans="1:7" ht="18.75">
      <c r="A266" s="4"/>
      <c r="B266" s="4" t="s">
        <v>400</v>
      </c>
      <c r="F266" s="3"/>
      <c r="G266" s="131"/>
    </row>
    <row r="267" spans="1:7" ht="18.75">
      <c r="A267" s="4"/>
      <c r="B267" s="4" t="s">
        <v>401</v>
      </c>
      <c r="F267" s="3"/>
      <c r="G267" s="131"/>
    </row>
    <row r="268" spans="1:7" ht="18.75">
      <c r="A268" s="4"/>
      <c r="B268" s="4" t="s">
        <v>402</v>
      </c>
      <c r="F268" s="3"/>
      <c r="G268" s="131"/>
    </row>
    <row r="269" spans="1:7" ht="18.75">
      <c r="A269" s="4"/>
      <c r="B269" s="4" t="s">
        <v>403</v>
      </c>
      <c r="F269" s="3"/>
      <c r="G269" s="131"/>
    </row>
    <row r="270" spans="1:7" ht="18.75">
      <c r="A270" s="4"/>
      <c r="B270" s="4" t="s">
        <v>404</v>
      </c>
      <c r="F270" s="3"/>
      <c r="G270" s="131"/>
    </row>
    <row r="271" spans="1:7" ht="18.75">
      <c r="A271" s="4"/>
      <c r="B271" s="4"/>
      <c r="F271" s="3"/>
      <c r="G271" s="131"/>
    </row>
    <row r="272" spans="1:7" ht="18.75">
      <c r="A272" s="4"/>
      <c r="B272" s="4"/>
      <c r="F272" s="3"/>
      <c r="G272" s="131"/>
    </row>
    <row r="273" spans="2:7" ht="18.75">
      <c r="B273" s="4"/>
      <c r="F273" s="3"/>
      <c r="G273" s="3"/>
    </row>
    <row r="274" spans="1:7" ht="18.75">
      <c r="A274" s="693" t="s">
        <v>144</v>
      </c>
      <c r="B274" s="694"/>
      <c r="C274" s="695"/>
      <c r="D274" s="692" t="s">
        <v>143</v>
      </c>
      <c r="E274" s="692"/>
      <c r="F274" s="692" t="s">
        <v>142</v>
      </c>
      <c r="G274" s="692"/>
    </row>
    <row r="275" spans="1:7" ht="12.75" customHeight="1">
      <c r="A275" s="123"/>
      <c r="B275" s="124"/>
      <c r="C275" s="126"/>
      <c r="D275" s="123"/>
      <c r="E275" s="126"/>
      <c r="F275" s="123"/>
      <c r="G275" s="126"/>
    </row>
    <row r="276" spans="1:7" ht="12" customHeight="1">
      <c r="A276" s="123"/>
      <c r="B276" s="124"/>
      <c r="C276" s="126"/>
      <c r="D276" s="123"/>
      <c r="E276" s="126"/>
      <c r="F276" s="123"/>
      <c r="G276" s="126"/>
    </row>
    <row r="277" spans="1:7" ht="18.75">
      <c r="A277" s="696" t="str">
        <f>+A238</f>
        <v>(นางสาววรรณา  ผลบุญ)</v>
      </c>
      <c r="B277" s="697"/>
      <c r="C277" s="698"/>
      <c r="D277" s="696" t="s">
        <v>33</v>
      </c>
      <c r="E277" s="698"/>
      <c r="F277" s="696" t="str">
        <f>+A277</f>
        <v>(นางสาววรรณา  ผลบุญ)</v>
      </c>
      <c r="G277" s="698"/>
    </row>
    <row r="278" spans="1:7" ht="18.75">
      <c r="A278" s="696" t="str">
        <f>+A239</f>
        <v>เจ้าพนักงานการเงินและบัญชี</v>
      </c>
      <c r="B278" s="697"/>
      <c r="C278" s="698"/>
      <c r="D278" s="696" t="s">
        <v>393</v>
      </c>
      <c r="E278" s="698"/>
      <c r="F278" s="696" t="str">
        <f>+A278</f>
        <v>เจ้าพนักงานการเงินและบัญชี</v>
      </c>
      <c r="G278" s="698"/>
    </row>
    <row r="279" spans="1:7" ht="18.75">
      <c r="A279" s="127"/>
      <c r="B279" s="128"/>
      <c r="C279" s="133"/>
      <c r="D279" s="687" t="s">
        <v>36</v>
      </c>
      <c r="E279" s="688"/>
      <c r="F279" s="127"/>
      <c r="G279" s="133"/>
    </row>
    <row r="280" ht="18.75">
      <c r="G280" s="118" t="s">
        <v>647</v>
      </c>
    </row>
    <row r="281" ht="18.75">
      <c r="G281" s="118" t="s">
        <v>648</v>
      </c>
    </row>
    <row r="282" spans="1:7" ht="18.75">
      <c r="A282" s="700" t="s">
        <v>153</v>
      </c>
      <c r="B282" s="700"/>
      <c r="C282" s="700"/>
      <c r="D282" s="700"/>
      <c r="E282" s="700"/>
      <c r="F282" s="700"/>
      <c r="G282" s="700"/>
    </row>
    <row r="283" ht="18.75">
      <c r="A283" s="4" t="s">
        <v>138</v>
      </c>
    </row>
    <row r="284" spans="1:7" ht="18.75">
      <c r="A284" s="517" t="s">
        <v>0</v>
      </c>
      <c r="B284" s="518"/>
      <c r="C284" s="518"/>
      <c r="D284" s="518"/>
      <c r="E284" s="444" t="s">
        <v>139</v>
      </c>
      <c r="F284" s="444" t="s">
        <v>40</v>
      </c>
      <c r="G284" s="444" t="s">
        <v>1</v>
      </c>
    </row>
    <row r="285" spans="1:7" ht="18.75">
      <c r="A285" s="144" t="s">
        <v>6</v>
      </c>
      <c r="B285" s="510"/>
      <c r="C285" s="510"/>
      <c r="D285" s="510"/>
      <c r="E285" s="511">
        <v>532000</v>
      </c>
      <c r="F285" s="135">
        <v>13960</v>
      </c>
      <c r="G285" s="135"/>
    </row>
    <row r="286" spans="1:7" ht="18.75">
      <c r="A286" s="136"/>
      <c r="B286" s="124" t="s">
        <v>130</v>
      </c>
      <c r="E286" s="511">
        <v>110605</v>
      </c>
      <c r="F286" s="145"/>
      <c r="G286" s="125">
        <f>+F285</f>
        <v>13960</v>
      </c>
    </row>
    <row r="287" spans="1:7" ht="18.75">
      <c r="A287" s="138"/>
      <c r="B287" s="124"/>
      <c r="E287" s="146"/>
      <c r="F287" s="145"/>
      <c r="G287" s="125"/>
    </row>
    <row r="288" spans="1:7" ht="18.75">
      <c r="A288" s="138"/>
      <c r="B288" s="124"/>
      <c r="E288" s="145"/>
      <c r="F288" s="145"/>
      <c r="G288" s="125"/>
    </row>
    <row r="289" spans="1:7" ht="18.75">
      <c r="A289" s="138"/>
      <c r="B289" s="124"/>
      <c r="E289" s="145"/>
      <c r="F289" s="145"/>
      <c r="G289" s="125"/>
    </row>
    <row r="290" spans="1:7" ht="18.75">
      <c r="A290" s="123"/>
      <c r="B290" s="124"/>
      <c r="E290" s="145"/>
      <c r="F290" s="145"/>
      <c r="G290" s="125"/>
    </row>
    <row r="291" spans="1:7" ht="18.75">
      <c r="A291" s="123"/>
      <c r="B291" s="124"/>
      <c r="E291" s="145"/>
      <c r="F291" s="145"/>
      <c r="G291" s="125"/>
    </row>
    <row r="292" spans="1:7" ht="18.75">
      <c r="A292" s="123"/>
      <c r="B292" s="124"/>
      <c r="E292" s="145"/>
      <c r="F292" s="145"/>
      <c r="G292" s="125"/>
    </row>
    <row r="293" spans="1:7" ht="18.75">
      <c r="A293" s="123"/>
      <c r="B293" s="124"/>
      <c r="E293" s="145"/>
      <c r="F293" s="145"/>
      <c r="G293" s="125"/>
    </row>
    <row r="294" spans="1:7" ht="18.75">
      <c r="A294" s="123"/>
      <c r="B294" s="124"/>
      <c r="E294" s="145"/>
      <c r="F294" s="145"/>
      <c r="G294" s="125"/>
    </row>
    <row r="295" spans="1:7" ht="18.75">
      <c r="A295" s="123"/>
      <c r="B295" s="124"/>
      <c r="E295" s="145"/>
      <c r="F295" s="145"/>
      <c r="G295" s="125"/>
    </row>
    <row r="296" spans="1:7" ht="18.75">
      <c r="A296" s="123"/>
      <c r="B296" s="124"/>
      <c r="E296" s="145"/>
      <c r="F296" s="145"/>
      <c r="G296" s="125"/>
    </row>
    <row r="297" spans="1:7" ht="18.75">
      <c r="A297" s="123"/>
      <c r="B297" s="124"/>
      <c r="E297" s="145"/>
      <c r="F297" s="145"/>
      <c r="G297" s="125"/>
    </row>
    <row r="298" spans="1:7" ht="18.75">
      <c r="A298" s="123"/>
      <c r="B298" s="124"/>
      <c r="E298" s="145"/>
      <c r="F298" s="145"/>
      <c r="G298" s="125"/>
    </row>
    <row r="299" spans="1:7" ht="18.75">
      <c r="A299" s="123"/>
      <c r="B299" s="124"/>
      <c r="E299" s="145"/>
      <c r="F299" s="145"/>
      <c r="G299" s="125"/>
    </row>
    <row r="300" spans="1:7" ht="18.75">
      <c r="A300" s="127"/>
      <c r="B300" s="128"/>
      <c r="C300" s="128"/>
      <c r="D300" s="128"/>
      <c r="E300" s="127"/>
      <c r="F300" s="129"/>
      <c r="G300" s="129"/>
    </row>
    <row r="301" spans="6:7" ht="19.5" thickBot="1">
      <c r="F301" s="130">
        <f>SUM(F285:F300)</f>
        <v>13960</v>
      </c>
      <c r="G301" s="130">
        <f>SUM(G285:G300)</f>
        <v>13960</v>
      </c>
    </row>
    <row r="302" spans="6:7" ht="19.5" thickTop="1">
      <c r="F302" s="3"/>
      <c r="G302" s="3"/>
    </row>
    <row r="303" spans="1:7" ht="18.75">
      <c r="A303" s="4" t="s">
        <v>141</v>
      </c>
      <c r="B303" s="4" t="s">
        <v>649</v>
      </c>
      <c r="F303" s="3"/>
      <c r="G303" s="131"/>
    </row>
    <row r="304" spans="1:7" ht="18.75">
      <c r="A304" s="4" t="s">
        <v>650</v>
      </c>
      <c r="B304" s="4"/>
      <c r="F304" s="3"/>
      <c r="G304" s="131"/>
    </row>
    <row r="305" spans="1:7" ht="18.75">
      <c r="A305" s="4" t="s">
        <v>651</v>
      </c>
      <c r="F305" s="3"/>
      <c r="G305" s="3"/>
    </row>
    <row r="306" spans="1:7" ht="18.75" hidden="1">
      <c r="A306" s="4" t="s">
        <v>624</v>
      </c>
      <c r="B306" s="4"/>
      <c r="F306" s="3"/>
      <c r="G306" s="3"/>
    </row>
    <row r="307" spans="1:7" ht="18.75" hidden="1">
      <c r="A307" s="4"/>
      <c r="B307" s="4"/>
      <c r="F307" s="3"/>
      <c r="G307" s="3"/>
    </row>
    <row r="308" spans="1:7" ht="18.75">
      <c r="A308" s="693" t="s">
        <v>144</v>
      </c>
      <c r="B308" s="694"/>
      <c r="C308" s="695"/>
      <c r="D308" s="692" t="s">
        <v>143</v>
      </c>
      <c r="E308" s="692"/>
      <c r="F308" s="692" t="s">
        <v>142</v>
      </c>
      <c r="G308" s="692"/>
    </row>
    <row r="309" spans="1:7" ht="30" customHeight="1">
      <c r="A309" s="123"/>
      <c r="B309" s="124"/>
      <c r="C309" s="126"/>
      <c r="D309" s="123"/>
      <c r="E309" s="126"/>
      <c r="F309" s="123"/>
      <c r="G309" s="126"/>
    </row>
    <row r="310" spans="1:7" ht="18.75">
      <c r="A310" s="696" t="s">
        <v>351</v>
      </c>
      <c r="B310" s="697"/>
      <c r="C310" s="698"/>
      <c r="D310" s="696" t="s">
        <v>642</v>
      </c>
      <c r="E310" s="698"/>
      <c r="F310" s="696" t="str">
        <f>+A310</f>
        <v>(นางสาววรรณา  ผลบุญ)</v>
      </c>
      <c r="G310" s="698"/>
    </row>
    <row r="311" spans="1:7" ht="18.75">
      <c r="A311" s="696" t="s">
        <v>570</v>
      </c>
      <c r="B311" s="697"/>
      <c r="C311" s="698"/>
      <c r="D311" s="696" t="s">
        <v>36</v>
      </c>
      <c r="E311" s="698"/>
      <c r="F311" s="696" t="str">
        <f>+A311</f>
        <v>นักวิชาการเงินและบัญชี</v>
      </c>
      <c r="G311" s="698"/>
    </row>
    <row r="312" spans="1:7" ht="18.75">
      <c r="A312" s="127"/>
      <c r="B312" s="128"/>
      <c r="C312" s="133"/>
      <c r="D312" s="687"/>
      <c r="E312" s="688"/>
      <c r="F312" s="127"/>
      <c r="G312" s="133"/>
    </row>
    <row r="313" ht="18.75">
      <c r="G313" s="118" t="s">
        <v>652</v>
      </c>
    </row>
    <row r="314" ht="18.75">
      <c r="G314" s="118" t="s">
        <v>653</v>
      </c>
    </row>
    <row r="315" spans="1:7" ht="18.75">
      <c r="A315" s="700" t="s">
        <v>153</v>
      </c>
      <c r="B315" s="700"/>
      <c r="C315" s="700"/>
      <c r="D315" s="700"/>
      <c r="E315" s="700"/>
      <c r="F315" s="700"/>
      <c r="G315" s="700"/>
    </row>
    <row r="316" ht="18.75">
      <c r="A316" s="4" t="s">
        <v>138</v>
      </c>
    </row>
    <row r="317" spans="1:7" ht="18.75">
      <c r="A317" s="517" t="s">
        <v>0</v>
      </c>
      <c r="B317" s="518"/>
      <c r="C317" s="518"/>
      <c r="D317" s="518"/>
      <c r="E317" s="444" t="s">
        <v>139</v>
      </c>
      <c r="F317" s="444" t="s">
        <v>40</v>
      </c>
      <c r="G317" s="444" t="s">
        <v>1</v>
      </c>
    </row>
    <row r="318" spans="1:7" ht="18.75">
      <c r="A318" s="144" t="s">
        <v>417</v>
      </c>
      <c r="B318" s="510"/>
      <c r="C318" s="510"/>
      <c r="D318" s="510"/>
      <c r="E318" s="147">
        <v>410000</v>
      </c>
      <c r="F318" s="135">
        <v>645600</v>
      </c>
      <c r="G318" s="135"/>
    </row>
    <row r="319" spans="1:7" ht="18.75">
      <c r="A319" s="136" t="s">
        <v>427</v>
      </c>
      <c r="B319" s="519"/>
      <c r="C319" s="519"/>
      <c r="D319" s="519"/>
      <c r="E319" s="146">
        <v>410000</v>
      </c>
      <c r="F319" s="137">
        <v>56000</v>
      </c>
      <c r="G319" s="137"/>
    </row>
    <row r="320" spans="1:8" ht="18.75">
      <c r="A320" s="136"/>
      <c r="B320" s="124" t="s">
        <v>628</v>
      </c>
      <c r="E320" s="146">
        <v>110609</v>
      </c>
      <c r="F320" s="145"/>
      <c r="G320" s="125">
        <f>SUM(F318:F319)</f>
        <v>701600</v>
      </c>
      <c r="H320" s="2">
        <f>610000+54000</f>
        <v>664000</v>
      </c>
    </row>
    <row r="321" spans="1:7" ht="18.75">
      <c r="A321" s="138"/>
      <c r="B321" s="124"/>
      <c r="E321" s="145"/>
      <c r="F321" s="145"/>
      <c r="G321" s="125"/>
    </row>
    <row r="322" spans="1:7" ht="18.75">
      <c r="A322" s="138"/>
      <c r="B322" s="124"/>
      <c r="E322" s="145"/>
      <c r="F322" s="145"/>
      <c r="G322" s="125"/>
    </row>
    <row r="323" spans="1:7" ht="18.75">
      <c r="A323" s="138"/>
      <c r="B323" s="124"/>
      <c r="E323" s="145"/>
      <c r="F323" s="145"/>
      <c r="G323" s="125"/>
    </row>
    <row r="324" spans="1:7" ht="18.75">
      <c r="A324" s="123"/>
      <c r="B324" s="124"/>
      <c r="E324" s="145"/>
      <c r="F324" s="145"/>
      <c r="G324" s="125"/>
    </row>
    <row r="325" spans="1:7" ht="18.75">
      <c r="A325" s="123"/>
      <c r="B325" s="124"/>
      <c r="E325" s="145"/>
      <c r="F325" s="145"/>
      <c r="G325" s="125"/>
    </row>
    <row r="326" spans="1:7" ht="18.75">
      <c r="A326" s="123"/>
      <c r="B326" s="124"/>
      <c r="E326" s="145"/>
      <c r="F326" s="145"/>
      <c r="G326" s="125"/>
    </row>
    <row r="327" spans="1:7" ht="18.75">
      <c r="A327" s="123"/>
      <c r="B327" s="124"/>
      <c r="E327" s="145"/>
      <c r="F327" s="145"/>
      <c r="G327" s="125"/>
    </row>
    <row r="328" spans="1:7" ht="18.75">
      <c r="A328" s="123"/>
      <c r="B328" s="124"/>
      <c r="E328" s="145"/>
      <c r="F328" s="145"/>
      <c r="G328" s="125"/>
    </row>
    <row r="329" spans="1:7" ht="18.75">
      <c r="A329" s="123"/>
      <c r="B329" s="124"/>
      <c r="E329" s="145"/>
      <c r="F329" s="145"/>
      <c r="G329" s="125"/>
    </row>
    <row r="330" spans="1:7" ht="18.75">
      <c r="A330" s="123"/>
      <c r="B330" s="124"/>
      <c r="E330" s="145"/>
      <c r="F330" s="145"/>
      <c r="G330" s="125"/>
    </row>
    <row r="331" spans="1:7" ht="18.75">
      <c r="A331" s="123"/>
      <c r="B331" s="124"/>
      <c r="E331" s="145"/>
      <c r="F331" s="145"/>
      <c r="G331" s="125"/>
    </row>
    <row r="332" spans="1:7" ht="18.75">
      <c r="A332" s="123"/>
      <c r="B332" s="124"/>
      <c r="E332" s="145"/>
      <c r="F332" s="145"/>
      <c r="G332" s="125"/>
    </row>
    <row r="333" spans="1:7" ht="18.75">
      <c r="A333" s="123"/>
      <c r="B333" s="124"/>
      <c r="E333" s="145"/>
      <c r="F333" s="145"/>
      <c r="G333" s="125"/>
    </row>
    <row r="334" spans="1:7" ht="18.75">
      <c r="A334" s="123"/>
      <c r="B334" s="124"/>
      <c r="E334" s="145"/>
      <c r="F334" s="145"/>
      <c r="G334" s="125"/>
    </row>
    <row r="335" spans="1:7" ht="18.75">
      <c r="A335" s="127"/>
      <c r="B335" s="128"/>
      <c r="C335" s="128"/>
      <c r="D335" s="128"/>
      <c r="E335" s="127"/>
      <c r="F335" s="129"/>
      <c r="G335" s="129"/>
    </row>
    <row r="336" spans="6:7" ht="19.5" thickBot="1">
      <c r="F336" s="130">
        <f>SUM(F318:F335)</f>
        <v>701600</v>
      </c>
      <c r="G336" s="130">
        <f>SUM(G318:G335)</f>
        <v>701600</v>
      </c>
    </row>
    <row r="337" spans="6:7" ht="19.5" thickTop="1">
      <c r="F337" s="3"/>
      <c r="G337" s="3"/>
    </row>
    <row r="338" spans="1:7" ht="18.75">
      <c r="A338" s="4" t="s">
        <v>141</v>
      </c>
      <c r="B338" s="4" t="s">
        <v>654</v>
      </c>
      <c r="F338" s="3"/>
      <c r="G338" s="131"/>
    </row>
    <row r="339" spans="1:7" ht="18.75">
      <c r="A339" s="4" t="s">
        <v>655</v>
      </c>
      <c r="F339" s="3"/>
      <c r="G339" s="3"/>
    </row>
    <row r="340" spans="1:7" ht="18.75" hidden="1">
      <c r="A340" s="4" t="s">
        <v>422</v>
      </c>
      <c r="B340" s="4"/>
      <c r="F340" s="3"/>
      <c r="G340" s="3"/>
    </row>
    <row r="341" spans="2:7" ht="18.75">
      <c r="B341" s="4"/>
      <c r="F341" s="3"/>
      <c r="G341" s="3"/>
    </row>
    <row r="342" spans="1:7" ht="18.75">
      <c r="A342" s="693" t="s">
        <v>144</v>
      </c>
      <c r="B342" s="694"/>
      <c r="C342" s="695"/>
      <c r="D342" s="692" t="s">
        <v>143</v>
      </c>
      <c r="E342" s="692"/>
      <c r="F342" s="692" t="s">
        <v>142</v>
      </c>
      <c r="G342" s="692"/>
    </row>
    <row r="343" spans="1:7" ht="12" customHeight="1">
      <c r="A343" s="123"/>
      <c r="B343" s="124"/>
      <c r="C343" s="126"/>
      <c r="D343" s="123"/>
      <c r="E343" s="126"/>
      <c r="F343" s="123"/>
      <c r="G343" s="126"/>
    </row>
    <row r="344" spans="1:7" ht="18.75">
      <c r="A344" s="123"/>
      <c r="B344" s="124"/>
      <c r="C344" s="126"/>
      <c r="D344" s="123"/>
      <c r="E344" s="126"/>
      <c r="F344" s="123"/>
      <c r="G344" s="126"/>
    </row>
    <row r="345" spans="1:7" ht="18.75">
      <c r="A345" s="696" t="s">
        <v>351</v>
      </c>
      <c r="B345" s="697"/>
      <c r="C345" s="698"/>
      <c r="D345" s="696" t="s">
        <v>642</v>
      </c>
      <c r="E345" s="698"/>
      <c r="F345" s="696" t="str">
        <f>+A345</f>
        <v>(นางสาววรรณา  ผลบุญ)</v>
      </c>
      <c r="G345" s="698"/>
    </row>
    <row r="346" spans="1:7" ht="18.75">
      <c r="A346" s="696" t="s">
        <v>570</v>
      </c>
      <c r="B346" s="697"/>
      <c r="C346" s="698"/>
      <c r="D346" s="696" t="s">
        <v>36</v>
      </c>
      <c r="E346" s="698"/>
      <c r="F346" s="696" t="str">
        <f>+A346</f>
        <v>นักวิชาการเงินและบัญชี</v>
      </c>
      <c r="G346" s="698"/>
    </row>
    <row r="347" spans="1:7" ht="18.75">
      <c r="A347" s="127"/>
      <c r="B347" s="128"/>
      <c r="C347" s="133"/>
      <c r="D347" s="687"/>
      <c r="E347" s="688"/>
      <c r="F347" s="127"/>
      <c r="G347" s="133"/>
    </row>
    <row r="348" ht="18.75">
      <c r="G348" s="118" t="s">
        <v>625</v>
      </c>
    </row>
    <row r="349" ht="18.75">
      <c r="G349" s="118" t="s">
        <v>623</v>
      </c>
    </row>
    <row r="350" spans="1:7" ht="18.75">
      <c r="A350" s="700" t="s">
        <v>153</v>
      </c>
      <c r="B350" s="700"/>
      <c r="C350" s="700"/>
      <c r="D350" s="700"/>
      <c r="E350" s="700"/>
      <c r="F350" s="700"/>
      <c r="G350" s="700"/>
    </row>
    <row r="351" ht="18.75">
      <c r="A351" s="4" t="s">
        <v>138</v>
      </c>
    </row>
    <row r="352" spans="1:7" ht="18.75">
      <c r="A352" s="517" t="s">
        <v>0</v>
      </c>
      <c r="B352" s="518"/>
      <c r="C352" s="518"/>
      <c r="D352" s="518"/>
      <c r="E352" s="444" t="s">
        <v>139</v>
      </c>
      <c r="F352" s="444" t="s">
        <v>40</v>
      </c>
      <c r="G352" s="444" t="s">
        <v>1</v>
      </c>
    </row>
    <row r="353" spans="1:7" ht="18.75">
      <c r="A353" s="144" t="s">
        <v>427</v>
      </c>
      <c r="B353" s="510"/>
      <c r="C353" s="510"/>
      <c r="D353" s="510"/>
      <c r="E353" s="147">
        <v>410000</v>
      </c>
      <c r="F353" s="135">
        <v>87000</v>
      </c>
      <c r="G353" s="135"/>
    </row>
    <row r="354" spans="1:7" ht="18.75">
      <c r="A354" s="136"/>
      <c r="B354" s="124" t="s">
        <v>152</v>
      </c>
      <c r="E354" s="146">
        <v>110606</v>
      </c>
      <c r="F354" s="145"/>
      <c r="G354" s="125">
        <f>+F353</f>
        <v>87000</v>
      </c>
    </row>
    <row r="355" spans="1:7" ht="18.75">
      <c r="A355" s="138"/>
      <c r="B355" s="124"/>
      <c r="E355" s="145"/>
      <c r="F355" s="145"/>
      <c r="G355" s="125"/>
    </row>
    <row r="356" spans="1:7" ht="18.75">
      <c r="A356" s="138"/>
      <c r="B356" s="124"/>
      <c r="E356" s="145"/>
      <c r="F356" s="145"/>
      <c r="G356" s="125"/>
    </row>
    <row r="357" spans="1:7" ht="18.75">
      <c r="A357" s="138"/>
      <c r="B357" s="124"/>
      <c r="E357" s="145"/>
      <c r="F357" s="145"/>
      <c r="G357" s="125"/>
    </row>
    <row r="358" spans="1:7" ht="18.75">
      <c r="A358" s="123"/>
      <c r="B358" s="124"/>
      <c r="E358" s="145"/>
      <c r="F358" s="145"/>
      <c r="G358" s="125"/>
    </row>
    <row r="359" spans="1:7" ht="18.75">
      <c r="A359" s="123"/>
      <c r="B359" s="124"/>
      <c r="E359" s="145"/>
      <c r="F359" s="145"/>
      <c r="G359" s="125"/>
    </row>
    <row r="360" spans="1:7" ht="18.75">
      <c r="A360" s="123"/>
      <c r="B360" s="124"/>
      <c r="E360" s="145"/>
      <c r="F360" s="145"/>
      <c r="G360" s="125"/>
    </row>
    <row r="361" spans="1:7" ht="18.75">
      <c r="A361" s="123"/>
      <c r="B361" s="124"/>
      <c r="E361" s="145"/>
      <c r="F361" s="145"/>
      <c r="G361" s="125"/>
    </row>
    <row r="362" spans="1:7" ht="18.75">
      <c r="A362" s="123"/>
      <c r="B362" s="124"/>
      <c r="E362" s="145"/>
      <c r="F362" s="145"/>
      <c r="G362" s="125"/>
    </row>
    <row r="363" spans="1:7" ht="18.75">
      <c r="A363" s="123"/>
      <c r="B363" s="124"/>
      <c r="E363" s="145"/>
      <c r="F363" s="145"/>
      <c r="G363" s="125"/>
    </row>
    <row r="364" spans="1:7" ht="18.75">
      <c r="A364" s="123"/>
      <c r="B364" s="124"/>
      <c r="E364" s="145"/>
      <c r="F364" s="145"/>
      <c r="G364" s="125"/>
    </row>
    <row r="365" spans="1:7" ht="18.75">
      <c r="A365" s="123"/>
      <c r="B365" s="124"/>
      <c r="E365" s="145"/>
      <c r="F365" s="145"/>
      <c r="G365" s="125"/>
    </row>
    <row r="366" spans="1:7" ht="18.75">
      <c r="A366" s="123"/>
      <c r="B366" s="124"/>
      <c r="E366" s="145"/>
      <c r="F366" s="145"/>
      <c r="G366" s="125"/>
    </row>
    <row r="367" spans="1:7" ht="18.75">
      <c r="A367" s="123"/>
      <c r="B367" s="124"/>
      <c r="E367" s="145"/>
      <c r="F367" s="145"/>
      <c r="G367" s="125"/>
    </row>
    <row r="368" spans="1:7" ht="18.75">
      <c r="A368" s="123"/>
      <c r="B368" s="124"/>
      <c r="E368" s="145"/>
      <c r="F368" s="145"/>
      <c r="G368" s="125"/>
    </row>
    <row r="369" spans="1:7" ht="18.75">
      <c r="A369" s="127"/>
      <c r="B369" s="128"/>
      <c r="C369" s="128"/>
      <c r="D369" s="128"/>
      <c r="E369" s="127"/>
      <c r="F369" s="129"/>
      <c r="G369" s="129"/>
    </row>
    <row r="370" spans="6:7" ht="19.5" thickBot="1">
      <c r="F370" s="130">
        <f>SUM(F353:F369)</f>
        <v>87000</v>
      </c>
      <c r="G370" s="130">
        <f>SUM(G353:G369)</f>
        <v>87000</v>
      </c>
    </row>
    <row r="371" spans="6:7" ht="19.5" thickTop="1">
      <c r="F371" s="3"/>
      <c r="G371" s="3"/>
    </row>
    <row r="372" spans="1:7" ht="18.75">
      <c r="A372" s="4" t="s">
        <v>141</v>
      </c>
      <c r="B372" s="4" t="s">
        <v>626</v>
      </c>
      <c r="F372" s="3"/>
      <c r="G372" s="131"/>
    </row>
    <row r="373" spans="1:7" ht="18.75">
      <c r="A373" s="4" t="s">
        <v>627</v>
      </c>
      <c r="F373" s="3"/>
      <c r="G373" s="3"/>
    </row>
    <row r="374" spans="1:7" ht="18.75" hidden="1">
      <c r="A374" s="4" t="s">
        <v>422</v>
      </c>
      <c r="B374" s="4"/>
      <c r="F374" s="3"/>
      <c r="G374" s="3"/>
    </row>
    <row r="375" spans="2:7" ht="18.75">
      <c r="B375" s="4"/>
      <c r="F375" s="3"/>
      <c r="G375" s="3"/>
    </row>
    <row r="376" spans="1:7" ht="18.75">
      <c r="A376" s="693" t="s">
        <v>144</v>
      </c>
      <c r="B376" s="694"/>
      <c r="C376" s="695"/>
      <c r="D376" s="692" t="s">
        <v>143</v>
      </c>
      <c r="E376" s="692"/>
      <c r="F376" s="692" t="s">
        <v>142</v>
      </c>
      <c r="G376" s="692"/>
    </row>
    <row r="377" spans="1:7" ht="18.75">
      <c r="A377" s="123"/>
      <c r="B377" s="124"/>
      <c r="C377" s="126"/>
      <c r="D377" s="123"/>
      <c r="E377" s="126"/>
      <c r="F377" s="123"/>
      <c r="G377" s="126"/>
    </row>
    <row r="378" spans="1:7" ht="18.75">
      <c r="A378" s="123"/>
      <c r="B378" s="124"/>
      <c r="C378" s="126"/>
      <c r="D378" s="123"/>
      <c r="E378" s="126"/>
      <c r="F378" s="123"/>
      <c r="G378" s="126"/>
    </row>
    <row r="379" spans="1:7" ht="18.75">
      <c r="A379" s="696" t="s">
        <v>351</v>
      </c>
      <c r="B379" s="697"/>
      <c r="C379" s="698"/>
      <c r="D379" s="696" t="s">
        <v>33</v>
      </c>
      <c r="E379" s="698"/>
      <c r="F379" s="696" t="str">
        <f>+A379</f>
        <v>(นางสาววรรณา  ผลบุญ)</v>
      </c>
      <c r="G379" s="698"/>
    </row>
    <row r="380" spans="1:7" ht="18.75">
      <c r="A380" s="696" t="s">
        <v>570</v>
      </c>
      <c r="B380" s="697"/>
      <c r="C380" s="698"/>
      <c r="D380" s="696" t="s">
        <v>389</v>
      </c>
      <c r="E380" s="698"/>
      <c r="F380" s="696" t="str">
        <f>+A380</f>
        <v>นักวิชาการเงินและบัญชี</v>
      </c>
      <c r="G380" s="698"/>
    </row>
    <row r="381" spans="1:7" ht="18.75">
      <c r="A381" s="127"/>
      <c r="B381" s="128"/>
      <c r="C381" s="133"/>
      <c r="D381" s="687" t="s">
        <v>36</v>
      </c>
      <c r="E381" s="688"/>
      <c r="F381" s="127"/>
      <c r="G381" s="133"/>
    </row>
    <row r="382" ht="18.75">
      <c r="G382" s="118" t="s">
        <v>474</v>
      </c>
    </row>
    <row r="383" ht="18.75">
      <c r="G383" s="509" t="s">
        <v>469</v>
      </c>
    </row>
    <row r="384" spans="1:7" ht="18.75">
      <c r="A384" s="700" t="s">
        <v>153</v>
      </c>
      <c r="B384" s="700"/>
      <c r="C384" s="700"/>
      <c r="D384" s="700"/>
      <c r="E384" s="700"/>
      <c r="F384" s="700"/>
      <c r="G384" s="700"/>
    </row>
    <row r="385" ht="18.75">
      <c r="A385" s="4" t="s">
        <v>138</v>
      </c>
    </row>
    <row r="386" spans="1:7" ht="18.75">
      <c r="A386" s="517" t="s">
        <v>0</v>
      </c>
      <c r="B386" s="518"/>
      <c r="C386" s="518"/>
      <c r="D386" s="518"/>
      <c r="E386" s="444" t="s">
        <v>139</v>
      </c>
      <c r="F386" s="444" t="s">
        <v>40</v>
      </c>
      <c r="G386" s="444" t="s">
        <v>1</v>
      </c>
    </row>
    <row r="387" spans="1:9" ht="18.75">
      <c r="A387" s="144" t="s">
        <v>434</v>
      </c>
      <c r="B387" s="510"/>
      <c r="C387" s="510"/>
      <c r="D387" s="510"/>
      <c r="E387" s="147">
        <v>320000</v>
      </c>
      <c r="F387" s="135">
        <f>+G389*0.25</f>
        <v>29908.25</v>
      </c>
      <c r="G387" s="135"/>
      <c r="H387" s="3">
        <v>134263</v>
      </c>
      <c r="I387" s="113">
        <f>+H387-I391</f>
        <v>14630</v>
      </c>
    </row>
    <row r="388" spans="1:8" ht="18.75">
      <c r="A388" s="123" t="s">
        <v>15</v>
      </c>
      <c r="B388" s="124"/>
      <c r="E388" s="146">
        <v>300000</v>
      </c>
      <c r="F388" s="125">
        <f>+G389*75/100</f>
        <v>89724.75</v>
      </c>
      <c r="G388" s="125"/>
      <c r="H388" s="3">
        <f>60000+36000+3600</f>
        <v>99600</v>
      </c>
    </row>
    <row r="389" spans="1:11" ht="18.75">
      <c r="A389" s="138"/>
      <c r="B389" s="124" t="s">
        <v>130</v>
      </c>
      <c r="E389" s="146">
        <v>110605</v>
      </c>
      <c r="F389" s="145"/>
      <c r="G389" s="125">
        <v>119633</v>
      </c>
      <c r="H389" s="113">
        <f>+H387+H388</f>
        <v>233863</v>
      </c>
      <c r="I389" s="3">
        <v>96000</v>
      </c>
      <c r="K389" s="113">
        <f>+H389-I389</f>
        <v>137863</v>
      </c>
    </row>
    <row r="390" spans="1:7" ht="18.75">
      <c r="A390" s="138"/>
      <c r="B390" s="124"/>
      <c r="E390" s="145"/>
      <c r="F390" s="145"/>
      <c r="G390" s="125"/>
    </row>
    <row r="391" spans="1:11" ht="18.75">
      <c r="A391" s="138"/>
      <c r="B391" s="124"/>
      <c r="E391" s="145"/>
      <c r="F391" s="145"/>
      <c r="G391" s="125"/>
      <c r="H391" s="113">
        <f>+H389-119633</f>
        <v>114230</v>
      </c>
      <c r="I391" s="3">
        <f>122133-2500</f>
        <v>119633</v>
      </c>
      <c r="K391" s="113">
        <f>+K389-I391</f>
        <v>18230</v>
      </c>
    </row>
    <row r="392" spans="1:9" ht="18.75">
      <c r="A392" s="138"/>
      <c r="B392" s="124"/>
      <c r="E392" s="145"/>
      <c r="F392" s="145"/>
      <c r="G392" s="125"/>
      <c r="I392" s="113">
        <f>+I391+H388</f>
        <v>219233</v>
      </c>
    </row>
    <row r="393" spans="1:7" ht="18.75">
      <c r="A393" s="138"/>
      <c r="B393" s="124"/>
      <c r="E393" s="145"/>
      <c r="F393" s="145"/>
      <c r="G393" s="125"/>
    </row>
    <row r="394" spans="1:11" ht="18.75">
      <c r="A394" s="138"/>
      <c r="B394" s="124"/>
      <c r="E394" s="145"/>
      <c r="F394" s="145"/>
      <c r="G394" s="125"/>
      <c r="K394" s="2">
        <f>122133-2500</f>
        <v>119633</v>
      </c>
    </row>
    <row r="395" spans="1:7" ht="18.75">
      <c r="A395" s="138"/>
      <c r="B395" s="124"/>
      <c r="E395" s="145"/>
      <c r="F395" s="145"/>
      <c r="G395" s="125"/>
    </row>
    <row r="396" spans="1:7" ht="18.75">
      <c r="A396" s="138"/>
      <c r="B396" s="124"/>
      <c r="E396" s="145"/>
      <c r="F396" s="145"/>
      <c r="G396" s="125"/>
    </row>
    <row r="397" spans="1:7" ht="18.75">
      <c r="A397" s="123"/>
      <c r="B397" s="124"/>
      <c r="E397" s="145"/>
      <c r="F397" s="145"/>
      <c r="G397" s="125"/>
    </row>
    <row r="398" spans="1:7" ht="18.75">
      <c r="A398" s="123"/>
      <c r="B398" s="124"/>
      <c r="E398" s="145"/>
      <c r="F398" s="145"/>
      <c r="G398" s="125"/>
    </row>
    <row r="399" spans="1:7" ht="18.75">
      <c r="A399" s="123"/>
      <c r="B399" s="124"/>
      <c r="E399" s="145"/>
      <c r="F399" s="145"/>
      <c r="G399" s="125"/>
    </row>
    <row r="400" spans="1:7" ht="18.75">
      <c r="A400" s="123"/>
      <c r="B400" s="124"/>
      <c r="E400" s="145"/>
      <c r="F400" s="145"/>
      <c r="G400" s="125"/>
    </row>
    <row r="401" spans="1:7" ht="18.75">
      <c r="A401" s="123"/>
      <c r="B401" s="124"/>
      <c r="E401" s="145"/>
      <c r="F401" s="145"/>
      <c r="G401" s="125"/>
    </row>
    <row r="402" spans="1:7" ht="18.75">
      <c r="A402" s="123"/>
      <c r="B402" s="124"/>
      <c r="E402" s="145"/>
      <c r="F402" s="145"/>
      <c r="G402" s="125"/>
    </row>
    <row r="403" spans="1:7" ht="18.75">
      <c r="A403" s="127"/>
      <c r="B403" s="128"/>
      <c r="C403" s="128"/>
      <c r="D403" s="128"/>
      <c r="E403" s="127"/>
      <c r="F403" s="129"/>
      <c r="G403" s="129"/>
    </row>
    <row r="404" spans="6:7" ht="19.5" thickBot="1">
      <c r="F404" s="130">
        <f>SUM(F387:F403)</f>
        <v>119633</v>
      </c>
      <c r="G404" s="130">
        <f>SUM(G387:G403)</f>
        <v>119633</v>
      </c>
    </row>
    <row r="405" spans="6:7" ht="19.5" thickTop="1">
      <c r="F405" s="3"/>
      <c r="G405" s="3"/>
    </row>
    <row r="406" spans="1:7" ht="18.75">
      <c r="A406" s="4" t="s">
        <v>141</v>
      </c>
      <c r="B406" s="4" t="s">
        <v>475</v>
      </c>
      <c r="F406" s="3"/>
      <c r="G406" s="131"/>
    </row>
    <row r="407" spans="1:7" ht="18.75">
      <c r="A407" s="4" t="s">
        <v>476</v>
      </c>
      <c r="B407" s="4"/>
      <c r="F407" s="3"/>
      <c r="G407" s="131"/>
    </row>
    <row r="408" spans="2:7" ht="18.75">
      <c r="B408" s="4"/>
      <c r="F408" s="3"/>
      <c r="G408" s="3"/>
    </row>
    <row r="409" spans="1:7" ht="18.75">
      <c r="A409" s="693" t="s">
        <v>144</v>
      </c>
      <c r="B409" s="694"/>
      <c r="C409" s="695"/>
      <c r="D409" s="692" t="s">
        <v>143</v>
      </c>
      <c r="E409" s="692"/>
      <c r="F409" s="692" t="s">
        <v>142</v>
      </c>
      <c r="G409" s="692"/>
    </row>
    <row r="410" spans="1:7" ht="14.25" customHeight="1">
      <c r="A410" s="123"/>
      <c r="B410" s="124"/>
      <c r="C410" s="126"/>
      <c r="D410" s="123"/>
      <c r="E410" s="126"/>
      <c r="F410" s="123"/>
      <c r="G410" s="126"/>
    </row>
    <row r="411" spans="1:7" ht="18.75">
      <c r="A411" s="123"/>
      <c r="B411" s="124"/>
      <c r="C411" s="126"/>
      <c r="D411" s="123"/>
      <c r="E411" s="126"/>
      <c r="F411" s="123"/>
      <c r="G411" s="126"/>
    </row>
    <row r="412" spans="1:7" ht="18.75">
      <c r="A412" s="696" t="str">
        <f>+A379</f>
        <v>(นางสาววรรณา  ผลบุญ)</v>
      </c>
      <c r="B412" s="697"/>
      <c r="C412" s="698"/>
      <c r="D412" s="696" t="s">
        <v>33</v>
      </c>
      <c r="E412" s="698"/>
      <c r="F412" s="696" t="str">
        <f>+A412</f>
        <v>(นางสาววรรณา  ผลบุญ)</v>
      </c>
      <c r="G412" s="698"/>
    </row>
    <row r="413" spans="1:7" ht="18.75">
      <c r="A413" s="696" t="str">
        <f>+A380</f>
        <v>นักวิชาการเงินและบัญชี</v>
      </c>
      <c r="B413" s="697"/>
      <c r="C413" s="698"/>
      <c r="D413" s="696" t="s">
        <v>389</v>
      </c>
      <c r="E413" s="698"/>
      <c r="F413" s="696" t="str">
        <f>+A413</f>
        <v>นักวิชาการเงินและบัญชี</v>
      </c>
      <c r="G413" s="698"/>
    </row>
    <row r="414" spans="1:7" ht="18.75">
      <c r="A414" s="127"/>
      <c r="B414" s="128"/>
      <c r="C414" s="133"/>
      <c r="D414" s="687" t="s">
        <v>36</v>
      </c>
      <c r="E414" s="688"/>
      <c r="F414" s="127"/>
      <c r="G414" s="133"/>
    </row>
    <row r="415" ht="18.75">
      <c r="G415" s="118" t="s">
        <v>435</v>
      </c>
    </row>
    <row r="416" ht="18.75">
      <c r="G416" s="118" t="s">
        <v>433</v>
      </c>
    </row>
    <row r="417" spans="1:7" ht="18.75">
      <c r="A417" s="700" t="s">
        <v>153</v>
      </c>
      <c r="B417" s="700"/>
      <c r="C417" s="700"/>
      <c r="D417" s="700"/>
      <c r="E417" s="700"/>
      <c r="F417" s="700"/>
      <c r="G417" s="700"/>
    </row>
    <row r="418" ht="18.75">
      <c r="A418" s="4" t="s">
        <v>138</v>
      </c>
    </row>
    <row r="419" spans="1:7" ht="18.75">
      <c r="A419" s="517" t="s">
        <v>0</v>
      </c>
      <c r="B419" s="518"/>
      <c r="C419" s="518"/>
      <c r="D419" s="518"/>
      <c r="E419" s="444" t="s">
        <v>139</v>
      </c>
      <c r="F419" s="444" t="s">
        <v>40</v>
      </c>
      <c r="G419" s="444" t="s">
        <v>1</v>
      </c>
    </row>
    <row r="420" spans="1:7" ht="18.75">
      <c r="A420" s="144" t="s">
        <v>414</v>
      </c>
      <c r="B420" s="510"/>
      <c r="C420" s="510"/>
      <c r="D420" s="510"/>
      <c r="E420" s="511">
        <v>110605</v>
      </c>
      <c r="F420" s="135">
        <v>1707.67</v>
      </c>
      <c r="G420" s="135"/>
    </row>
    <row r="421" spans="1:7" ht="18.75">
      <c r="A421" s="136"/>
      <c r="B421" s="124" t="s">
        <v>436</v>
      </c>
      <c r="E421" s="511">
        <v>230199</v>
      </c>
      <c r="F421" s="145"/>
      <c r="G421" s="125">
        <f>+F420</f>
        <v>1707.67</v>
      </c>
    </row>
    <row r="422" spans="1:7" ht="18.75">
      <c r="A422" s="138"/>
      <c r="B422" s="124"/>
      <c r="E422" s="146"/>
      <c r="F422" s="145"/>
      <c r="G422" s="125"/>
    </row>
    <row r="423" spans="1:7" ht="18.75">
      <c r="A423" s="138"/>
      <c r="B423" s="124"/>
      <c r="E423" s="145"/>
      <c r="F423" s="145"/>
      <c r="G423" s="125"/>
    </row>
    <row r="424" spans="1:7" ht="18.75">
      <c r="A424" s="138"/>
      <c r="B424" s="124"/>
      <c r="E424" s="145"/>
      <c r="F424" s="145"/>
      <c r="G424" s="125"/>
    </row>
    <row r="425" spans="1:7" ht="18.75">
      <c r="A425" s="123"/>
      <c r="B425" s="124"/>
      <c r="E425" s="145"/>
      <c r="F425" s="145"/>
      <c r="G425" s="125"/>
    </row>
    <row r="426" spans="1:7" ht="18.75">
      <c r="A426" s="123"/>
      <c r="B426" s="124"/>
      <c r="E426" s="145"/>
      <c r="F426" s="145"/>
      <c r="G426" s="125"/>
    </row>
    <row r="427" spans="1:7" ht="18.75">
      <c r="A427" s="123"/>
      <c r="B427" s="124"/>
      <c r="E427" s="145"/>
      <c r="F427" s="145"/>
      <c r="G427" s="125"/>
    </row>
    <row r="428" spans="1:7" ht="18.75">
      <c r="A428" s="123"/>
      <c r="B428" s="124"/>
      <c r="E428" s="145"/>
      <c r="F428" s="145"/>
      <c r="G428" s="125"/>
    </row>
    <row r="429" spans="1:7" ht="18.75">
      <c r="A429" s="123"/>
      <c r="B429" s="124"/>
      <c r="E429" s="145"/>
      <c r="F429" s="145"/>
      <c r="G429" s="125"/>
    </row>
    <row r="430" spans="1:7" ht="18.75">
      <c r="A430" s="123"/>
      <c r="B430" s="124"/>
      <c r="E430" s="145"/>
      <c r="F430" s="145"/>
      <c r="G430" s="125"/>
    </row>
    <row r="431" spans="1:7" ht="18.75">
      <c r="A431" s="123"/>
      <c r="B431" s="124"/>
      <c r="E431" s="145"/>
      <c r="F431" s="145"/>
      <c r="G431" s="125"/>
    </row>
    <row r="432" spans="1:7" ht="18.75">
      <c r="A432" s="123"/>
      <c r="B432" s="124"/>
      <c r="E432" s="145"/>
      <c r="F432" s="145"/>
      <c r="G432" s="125"/>
    </row>
    <row r="433" spans="1:7" ht="18.75">
      <c r="A433" s="123"/>
      <c r="B433" s="124"/>
      <c r="E433" s="145"/>
      <c r="F433" s="145"/>
      <c r="G433" s="125"/>
    </row>
    <row r="434" spans="1:7" ht="18.75">
      <c r="A434" s="123"/>
      <c r="B434" s="124"/>
      <c r="E434" s="145"/>
      <c r="F434" s="145"/>
      <c r="G434" s="125"/>
    </row>
    <row r="435" spans="1:7" ht="18.75">
      <c r="A435" s="127"/>
      <c r="B435" s="128"/>
      <c r="C435" s="128"/>
      <c r="D435" s="128"/>
      <c r="E435" s="127"/>
      <c r="F435" s="129"/>
      <c r="G435" s="129"/>
    </row>
    <row r="436" spans="6:7" ht="19.5" thickBot="1">
      <c r="F436" s="130">
        <f>SUM(F420:F435)</f>
        <v>1707.67</v>
      </c>
      <c r="G436" s="130">
        <f>SUM(G420:G435)</f>
        <v>1707.67</v>
      </c>
    </row>
    <row r="437" spans="6:7" ht="19.5" thickTop="1">
      <c r="F437" s="3"/>
      <c r="G437" s="3"/>
    </row>
    <row r="438" spans="1:7" ht="18.75">
      <c r="A438" s="4" t="s">
        <v>141</v>
      </c>
      <c r="B438" s="4" t="s">
        <v>437</v>
      </c>
      <c r="F438" s="3"/>
      <c r="G438" s="131"/>
    </row>
    <row r="439" spans="1:7" ht="18.75">
      <c r="A439" s="4" t="s">
        <v>438</v>
      </c>
      <c r="F439" s="3"/>
      <c r="G439" s="3"/>
    </row>
    <row r="440" spans="1:7" ht="18.75">
      <c r="A440" s="4"/>
      <c r="B440" s="4"/>
      <c r="F440" s="3"/>
      <c r="G440" s="3"/>
    </row>
    <row r="441" spans="1:7" ht="18.75">
      <c r="A441" s="693" t="s">
        <v>144</v>
      </c>
      <c r="B441" s="694"/>
      <c r="C441" s="695"/>
      <c r="D441" s="692" t="s">
        <v>143</v>
      </c>
      <c r="E441" s="692"/>
      <c r="F441" s="692" t="s">
        <v>142</v>
      </c>
      <c r="G441" s="692"/>
    </row>
    <row r="442" spans="1:7" ht="18.75">
      <c r="A442" s="123"/>
      <c r="B442" s="124"/>
      <c r="C442" s="126"/>
      <c r="D442" s="123"/>
      <c r="E442" s="126"/>
      <c r="F442" s="123"/>
      <c r="G442" s="126"/>
    </row>
    <row r="443" spans="1:7" ht="18.75">
      <c r="A443" s="696" t="s">
        <v>351</v>
      </c>
      <c r="B443" s="697"/>
      <c r="C443" s="698"/>
      <c r="D443" s="696" t="s">
        <v>33</v>
      </c>
      <c r="E443" s="698"/>
      <c r="F443" s="696" t="str">
        <f>+A443</f>
        <v>(นางสาววรรณา  ผลบุญ)</v>
      </c>
      <c r="G443" s="698"/>
    </row>
    <row r="444" spans="1:7" ht="18.75">
      <c r="A444" s="696" t="s">
        <v>352</v>
      </c>
      <c r="B444" s="697"/>
      <c r="C444" s="698"/>
      <c r="D444" s="696" t="s">
        <v>389</v>
      </c>
      <c r="E444" s="698"/>
      <c r="F444" s="696" t="str">
        <f>+A444</f>
        <v>เจ้าพนักงานการเงินและบัญชี</v>
      </c>
      <c r="G444" s="698"/>
    </row>
    <row r="445" spans="1:7" ht="18.75">
      <c r="A445" s="127"/>
      <c r="B445" s="128"/>
      <c r="C445" s="133"/>
      <c r="D445" s="687" t="s">
        <v>36</v>
      </c>
      <c r="E445" s="688"/>
      <c r="F445" s="127"/>
      <c r="G445" s="133"/>
    </row>
    <row r="446" ht="18.75">
      <c r="G446" s="118" t="s">
        <v>443</v>
      </c>
    </row>
    <row r="447" ht="18.75">
      <c r="G447" s="118" t="s">
        <v>433</v>
      </c>
    </row>
    <row r="448" spans="1:7" ht="18.75">
      <c r="A448" s="700" t="s">
        <v>153</v>
      </c>
      <c r="B448" s="700"/>
      <c r="C448" s="700"/>
      <c r="D448" s="700"/>
      <c r="E448" s="700"/>
      <c r="F448" s="700"/>
      <c r="G448" s="700"/>
    </row>
    <row r="449" ht="18.75">
      <c r="A449" s="4" t="s">
        <v>138</v>
      </c>
    </row>
    <row r="450" spans="1:7" ht="18.75">
      <c r="A450" s="517" t="s">
        <v>0</v>
      </c>
      <c r="B450" s="518"/>
      <c r="C450" s="518"/>
      <c r="D450" s="518"/>
      <c r="E450" s="444" t="s">
        <v>139</v>
      </c>
      <c r="F450" s="444" t="s">
        <v>40</v>
      </c>
      <c r="G450" s="444" t="s">
        <v>1</v>
      </c>
    </row>
    <row r="451" spans="1:7" ht="18.75">
      <c r="A451" s="144" t="s">
        <v>444</v>
      </c>
      <c r="B451" s="510"/>
      <c r="C451" s="510"/>
      <c r="D451" s="510"/>
      <c r="E451" s="511">
        <v>230108</v>
      </c>
      <c r="F451" s="135">
        <v>114850</v>
      </c>
      <c r="G451" s="135"/>
    </row>
    <row r="452" spans="1:7" ht="18.75">
      <c r="A452" s="136"/>
      <c r="B452" s="124" t="s">
        <v>15</v>
      </c>
      <c r="E452" s="511">
        <v>300000</v>
      </c>
      <c r="F452" s="145"/>
      <c r="G452" s="125">
        <f>+F451</f>
        <v>114850</v>
      </c>
    </row>
    <row r="453" spans="1:7" ht="18.75">
      <c r="A453" s="138"/>
      <c r="B453" s="124"/>
      <c r="E453" s="146"/>
      <c r="F453" s="145"/>
      <c r="G453" s="125"/>
    </row>
    <row r="454" spans="1:7" ht="18.75">
      <c r="A454" s="138"/>
      <c r="B454" s="124"/>
      <c r="E454" s="145"/>
      <c r="F454" s="145"/>
      <c r="G454" s="125"/>
    </row>
    <row r="455" spans="1:7" ht="18.75">
      <c r="A455" s="138"/>
      <c r="B455" s="124"/>
      <c r="E455" s="145"/>
      <c r="F455" s="145"/>
      <c r="G455" s="125"/>
    </row>
    <row r="456" spans="1:7" ht="18.75">
      <c r="A456" s="123"/>
      <c r="B456" s="124"/>
      <c r="E456" s="145"/>
      <c r="F456" s="145"/>
      <c r="G456" s="125"/>
    </row>
    <row r="457" spans="1:7" ht="18.75">
      <c r="A457" s="123"/>
      <c r="B457" s="124"/>
      <c r="E457" s="145"/>
      <c r="F457" s="145"/>
      <c r="G457" s="125"/>
    </row>
    <row r="458" spans="1:7" ht="18.75">
      <c r="A458" s="123"/>
      <c r="B458" s="124"/>
      <c r="E458" s="145"/>
      <c r="F458" s="145"/>
      <c r="G458" s="125"/>
    </row>
    <row r="459" spans="1:7" ht="18.75">
      <c r="A459" s="123"/>
      <c r="B459" s="124"/>
      <c r="E459" s="145"/>
      <c r="F459" s="145"/>
      <c r="G459" s="125"/>
    </row>
    <row r="460" spans="1:7" ht="18.75">
      <c r="A460" s="123"/>
      <c r="B460" s="124"/>
      <c r="E460" s="145"/>
      <c r="F460" s="145"/>
      <c r="G460" s="125"/>
    </row>
    <row r="461" spans="1:7" ht="18.75">
      <c r="A461" s="123"/>
      <c r="B461" s="124"/>
      <c r="E461" s="145"/>
      <c r="F461" s="145"/>
      <c r="G461" s="125"/>
    </row>
    <row r="462" spans="1:7" ht="18.75">
      <c r="A462" s="123"/>
      <c r="B462" s="124"/>
      <c r="E462" s="145"/>
      <c r="F462" s="145"/>
      <c r="G462" s="125"/>
    </row>
    <row r="463" spans="1:7" ht="18.75">
      <c r="A463" s="123"/>
      <c r="B463" s="124"/>
      <c r="E463" s="145"/>
      <c r="F463" s="145"/>
      <c r="G463" s="125"/>
    </row>
    <row r="464" spans="1:7" ht="18.75">
      <c r="A464" s="127"/>
      <c r="B464" s="128"/>
      <c r="C464" s="128"/>
      <c r="D464" s="128"/>
      <c r="E464" s="127"/>
      <c r="F464" s="129"/>
      <c r="G464" s="129"/>
    </row>
    <row r="465" spans="6:7" ht="19.5" thickBot="1">
      <c r="F465" s="130">
        <f>SUM(F451:F464)</f>
        <v>114850</v>
      </c>
      <c r="G465" s="130">
        <f>SUM(G451:G464)</f>
        <v>114850</v>
      </c>
    </row>
    <row r="466" spans="6:7" ht="19.5" thickTop="1">
      <c r="F466" s="3"/>
      <c r="G466" s="3"/>
    </row>
    <row r="467" spans="1:7" ht="18.75">
      <c r="A467" s="4" t="s">
        <v>141</v>
      </c>
      <c r="B467" s="4" t="s">
        <v>445</v>
      </c>
      <c r="F467" s="3"/>
      <c r="G467" s="131"/>
    </row>
    <row r="468" spans="1:7" ht="18.75">
      <c r="A468" s="4" t="s">
        <v>446</v>
      </c>
      <c r="F468" s="3"/>
      <c r="G468" s="3"/>
    </row>
    <row r="469" spans="1:7" ht="18.75">
      <c r="A469" s="4" t="s">
        <v>447</v>
      </c>
      <c r="B469" s="4"/>
      <c r="F469" s="3"/>
      <c r="G469" s="3"/>
    </row>
    <row r="470" spans="1:7" ht="18.75">
      <c r="A470" s="693" t="s">
        <v>144</v>
      </c>
      <c r="B470" s="694"/>
      <c r="C470" s="695"/>
      <c r="D470" s="692" t="s">
        <v>143</v>
      </c>
      <c r="E470" s="692"/>
      <c r="F470" s="692" t="s">
        <v>142</v>
      </c>
      <c r="G470" s="692"/>
    </row>
    <row r="471" spans="1:7" ht="25.5" customHeight="1">
      <c r="A471" s="123"/>
      <c r="B471" s="124"/>
      <c r="C471" s="126"/>
      <c r="D471" s="123"/>
      <c r="E471" s="126"/>
      <c r="F471" s="123"/>
      <c r="G471" s="126"/>
    </row>
    <row r="472" spans="1:7" ht="18.75">
      <c r="A472" s="696" t="s">
        <v>351</v>
      </c>
      <c r="B472" s="697"/>
      <c r="C472" s="698"/>
      <c r="D472" s="696" t="s">
        <v>33</v>
      </c>
      <c r="E472" s="698"/>
      <c r="F472" s="696" t="str">
        <f>+A472</f>
        <v>(นางสาววรรณา  ผลบุญ)</v>
      </c>
      <c r="G472" s="698"/>
    </row>
    <row r="473" spans="1:7" ht="18.75">
      <c r="A473" s="696" t="s">
        <v>352</v>
      </c>
      <c r="B473" s="697"/>
      <c r="C473" s="698"/>
      <c r="D473" s="696" t="s">
        <v>389</v>
      </c>
      <c r="E473" s="698"/>
      <c r="F473" s="696" t="str">
        <f>+A473</f>
        <v>เจ้าพนักงานการเงินและบัญชี</v>
      </c>
      <c r="G473" s="698"/>
    </row>
    <row r="474" spans="1:7" ht="18.75">
      <c r="A474" s="127"/>
      <c r="B474" s="128"/>
      <c r="C474" s="133"/>
      <c r="D474" s="687" t="s">
        <v>36</v>
      </c>
      <c r="E474" s="688"/>
      <c r="F474" s="127"/>
      <c r="G474" s="133"/>
    </row>
    <row r="475" ht="18.75">
      <c r="G475" s="118" t="s">
        <v>489</v>
      </c>
    </row>
    <row r="476" ht="18.75">
      <c r="G476" s="118" t="s">
        <v>479</v>
      </c>
    </row>
    <row r="477" spans="1:7" ht="18.75">
      <c r="A477" s="700" t="s">
        <v>153</v>
      </c>
      <c r="B477" s="700"/>
      <c r="C477" s="700"/>
      <c r="D477" s="700"/>
      <c r="E477" s="700"/>
      <c r="F477" s="700"/>
      <c r="G477" s="700"/>
    </row>
    <row r="478" ht="18.75">
      <c r="A478" s="4" t="s">
        <v>138</v>
      </c>
    </row>
    <row r="479" spans="1:7" ht="18.75">
      <c r="A479" s="517" t="s">
        <v>0</v>
      </c>
      <c r="B479" s="518"/>
      <c r="C479" s="518"/>
      <c r="D479" s="518"/>
      <c r="E479" s="444" t="s">
        <v>139</v>
      </c>
      <c r="F479" s="444" t="s">
        <v>40</v>
      </c>
      <c r="G479" s="444" t="s">
        <v>1</v>
      </c>
    </row>
    <row r="480" spans="1:7" ht="18.75">
      <c r="A480" s="144" t="s">
        <v>70</v>
      </c>
      <c r="B480" s="510"/>
      <c r="C480" s="510"/>
      <c r="D480" s="510"/>
      <c r="E480" s="511">
        <v>210300</v>
      </c>
      <c r="F480" s="135">
        <v>14</v>
      </c>
      <c r="G480" s="135"/>
    </row>
    <row r="481" spans="1:7" ht="18.75">
      <c r="A481" s="136"/>
      <c r="B481" s="124" t="s">
        <v>368</v>
      </c>
      <c r="E481" s="511">
        <v>441000</v>
      </c>
      <c r="F481" s="145"/>
      <c r="G481" s="125">
        <f>+F480</f>
        <v>14</v>
      </c>
    </row>
    <row r="482" spans="1:7" ht="18.75">
      <c r="A482" s="138"/>
      <c r="B482" s="124"/>
      <c r="E482" s="146"/>
      <c r="F482" s="145"/>
      <c r="G482" s="125"/>
    </row>
    <row r="483" spans="1:7" ht="18.75">
      <c r="A483" s="138"/>
      <c r="B483" s="124"/>
      <c r="E483" s="145"/>
      <c r="F483" s="145"/>
      <c r="G483" s="125"/>
    </row>
    <row r="484" spans="1:7" ht="18.75">
      <c r="A484" s="138"/>
      <c r="B484" s="124"/>
      <c r="E484" s="145"/>
      <c r="F484" s="145"/>
      <c r="G484" s="125"/>
    </row>
    <row r="485" spans="1:7" ht="18.75">
      <c r="A485" s="123"/>
      <c r="B485" s="124"/>
      <c r="E485" s="145"/>
      <c r="F485" s="145"/>
      <c r="G485" s="125"/>
    </row>
    <row r="486" spans="1:7" ht="18.75">
      <c r="A486" s="123"/>
      <c r="B486" s="124"/>
      <c r="E486" s="145"/>
      <c r="F486" s="145"/>
      <c r="G486" s="125"/>
    </row>
    <row r="487" spans="1:7" ht="18.75">
      <c r="A487" s="123"/>
      <c r="B487" s="124"/>
      <c r="E487" s="145"/>
      <c r="F487" s="145"/>
      <c r="G487" s="125"/>
    </row>
    <row r="488" spans="1:7" ht="18.75">
      <c r="A488" s="123"/>
      <c r="B488" s="124"/>
      <c r="E488" s="145"/>
      <c r="F488" s="145"/>
      <c r="G488" s="125"/>
    </row>
    <row r="489" spans="1:7" ht="18.75">
      <c r="A489" s="123"/>
      <c r="B489" s="124"/>
      <c r="E489" s="145"/>
      <c r="F489" s="145"/>
      <c r="G489" s="125"/>
    </row>
    <row r="490" spans="1:7" ht="18.75">
      <c r="A490" s="123"/>
      <c r="B490" s="124"/>
      <c r="E490" s="145"/>
      <c r="F490" s="145"/>
      <c r="G490" s="125"/>
    </row>
    <row r="491" spans="1:7" ht="18.75">
      <c r="A491" s="123"/>
      <c r="B491" s="124"/>
      <c r="E491" s="145"/>
      <c r="F491" s="145"/>
      <c r="G491" s="125"/>
    </row>
    <row r="492" spans="1:7" ht="18.75">
      <c r="A492" s="123"/>
      <c r="B492" s="124"/>
      <c r="E492" s="145"/>
      <c r="F492" s="145"/>
      <c r="G492" s="125"/>
    </row>
    <row r="493" spans="1:7" ht="18.75">
      <c r="A493" s="123"/>
      <c r="B493" s="124"/>
      <c r="E493" s="145"/>
      <c r="F493" s="145"/>
      <c r="G493" s="125"/>
    </row>
    <row r="494" spans="1:7" ht="18.75">
      <c r="A494" s="123"/>
      <c r="B494" s="124"/>
      <c r="E494" s="145"/>
      <c r="F494" s="145"/>
      <c r="G494" s="125"/>
    </row>
    <row r="495" spans="1:7" ht="18.75">
      <c r="A495" s="123"/>
      <c r="B495" s="124"/>
      <c r="E495" s="145"/>
      <c r="F495" s="145"/>
      <c r="G495" s="125"/>
    </row>
    <row r="496" spans="1:7" ht="18.75">
      <c r="A496" s="127"/>
      <c r="B496" s="128"/>
      <c r="C496" s="128"/>
      <c r="D496" s="128"/>
      <c r="E496" s="127"/>
      <c r="F496" s="129"/>
      <c r="G496" s="129"/>
    </row>
    <row r="497" spans="6:7" ht="19.5" thickBot="1">
      <c r="F497" s="130">
        <f>SUM(F480:F496)</f>
        <v>14</v>
      </c>
      <c r="G497" s="130">
        <f>SUM(G480:G496)</f>
        <v>14</v>
      </c>
    </row>
    <row r="498" spans="6:7" ht="19.5" thickTop="1">
      <c r="F498" s="3"/>
      <c r="G498" s="3"/>
    </row>
    <row r="499" spans="1:7" ht="18.75">
      <c r="A499" s="4" t="s">
        <v>141</v>
      </c>
      <c r="B499" s="4" t="s">
        <v>493</v>
      </c>
      <c r="F499" s="3"/>
      <c r="G499" s="131"/>
    </row>
    <row r="500" spans="1:7" ht="18.75">
      <c r="A500" s="4" t="s">
        <v>494</v>
      </c>
      <c r="F500" s="3"/>
      <c r="G500" s="3"/>
    </row>
    <row r="501" spans="1:7" ht="18.75">
      <c r="A501" s="4" t="s">
        <v>495</v>
      </c>
      <c r="B501" s="4"/>
      <c r="F501" s="3"/>
      <c r="G501" s="3"/>
    </row>
    <row r="502" spans="1:7" ht="18.75">
      <c r="A502" s="693" t="s">
        <v>144</v>
      </c>
      <c r="B502" s="694"/>
      <c r="C502" s="695"/>
      <c r="D502" s="692" t="s">
        <v>143</v>
      </c>
      <c r="E502" s="692"/>
      <c r="F502" s="692" t="s">
        <v>142</v>
      </c>
      <c r="G502" s="692"/>
    </row>
    <row r="503" spans="1:7" ht="18.75">
      <c r="A503" s="123"/>
      <c r="B503" s="124"/>
      <c r="C503" s="126"/>
      <c r="D503" s="123"/>
      <c r="E503" s="126"/>
      <c r="F503" s="123"/>
      <c r="G503" s="126"/>
    </row>
    <row r="504" spans="1:7" ht="18.75">
      <c r="A504" s="696" t="s">
        <v>351</v>
      </c>
      <c r="B504" s="697"/>
      <c r="C504" s="698"/>
      <c r="D504" s="696" t="s">
        <v>33</v>
      </c>
      <c r="E504" s="698"/>
      <c r="F504" s="696" t="str">
        <f>+A504</f>
        <v>(นางสาววรรณา  ผลบุญ)</v>
      </c>
      <c r="G504" s="698"/>
    </row>
    <row r="505" spans="1:7" ht="18.75">
      <c r="A505" s="696" t="s">
        <v>352</v>
      </c>
      <c r="B505" s="697"/>
      <c r="C505" s="698"/>
      <c r="D505" s="696" t="s">
        <v>389</v>
      </c>
      <c r="E505" s="698"/>
      <c r="F505" s="696" t="str">
        <f>+A505</f>
        <v>เจ้าพนักงานการเงินและบัญชี</v>
      </c>
      <c r="G505" s="698"/>
    </row>
    <row r="506" spans="1:7" ht="18.75">
      <c r="A506" s="127"/>
      <c r="B506" s="128"/>
      <c r="C506" s="133"/>
      <c r="D506" s="687" t="s">
        <v>36</v>
      </c>
      <c r="E506" s="688"/>
      <c r="F506" s="127"/>
      <c r="G506" s="133"/>
    </row>
    <row r="507" ht="18.75">
      <c r="G507" s="118" t="s">
        <v>500</v>
      </c>
    </row>
    <row r="508" ht="18.75">
      <c r="G508" s="118" t="s">
        <v>479</v>
      </c>
    </row>
    <row r="509" spans="1:7" ht="18.75">
      <c r="A509" s="700" t="s">
        <v>153</v>
      </c>
      <c r="B509" s="700"/>
      <c r="C509" s="700"/>
      <c r="D509" s="700"/>
      <c r="E509" s="700"/>
      <c r="F509" s="700"/>
      <c r="G509" s="700"/>
    </row>
    <row r="510" ht="18.75">
      <c r="A510" s="4" t="s">
        <v>138</v>
      </c>
    </row>
    <row r="511" spans="1:7" ht="18.75">
      <c r="A511" s="517" t="s">
        <v>0</v>
      </c>
      <c r="B511" s="518"/>
      <c r="C511" s="518"/>
      <c r="D511" s="518"/>
      <c r="E511" s="444" t="s">
        <v>139</v>
      </c>
      <c r="F511" s="444" t="s">
        <v>40</v>
      </c>
      <c r="G511" s="444" t="s">
        <v>1</v>
      </c>
    </row>
    <row r="512" spans="1:7" ht="18.75">
      <c r="A512" s="144" t="s">
        <v>10</v>
      </c>
      <c r="B512" s="510"/>
      <c r="C512" s="510"/>
      <c r="D512" s="510"/>
      <c r="E512" s="511">
        <v>542000</v>
      </c>
      <c r="F512" s="135">
        <v>91400</v>
      </c>
      <c r="G512" s="135"/>
    </row>
    <row r="513" spans="1:7" ht="18.75">
      <c r="A513" s="136"/>
      <c r="B513" s="124" t="s">
        <v>14</v>
      </c>
      <c r="E513" s="511">
        <v>210400</v>
      </c>
      <c r="F513" s="145"/>
      <c r="G513" s="125">
        <f>+F512</f>
        <v>91400</v>
      </c>
    </row>
    <row r="514" spans="1:7" ht="18.75">
      <c r="A514" s="138"/>
      <c r="B514" s="124"/>
      <c r="E514" s="146"/>
      <c r="F514" s="145"/>
      <c r="G514" s="125"/>
    </row>
    <row r="515" spans="1:7" ht="18.75">
      <c r="A515" s="138"/>
      <c r="B515" s="124"/>
      <c r="E515" s="145"/>
      <c r="F515" s="145"/>
      <c r="G515" s="125"/>
    </row>
    <row r="516" spans="1:7" ht="18.75">
      <c r="A516" s="138"/>
      <c r="B516" s="124"/>
      <c r="E516" s="145"/>
      <c r="F516" s="145"/>
      <c r="G516" s="125"/>
    </row>
    <row r="517" spans="1:7" ht="18.75">
      <c r="A517" s="123"/>
      <c r="B517" s="124"/>
      <c r="E517" s="145"/>
      <c r="F517" s="145"/>
      <c r="G517" s="125"/>
    </row>
    <row r="518" spans="1:7" ht="18.75">
      <c r="A518" s="123"/>
      <c r="B518" s="124"/>
      <c r="E518" s="145"/>
      <c r="F518" s="145"/>
      <c r="G518" s="125"/>
    </row>
    <row r="519" spans="1:7" ht="18.75">
      <c r="A519" s="123"/>
      <c r="B519" s="124"/>
      <c r="E519" s="145"/>
      <c r="F519" s="145"/>
      <c r="G519" s="125"/>
    </row>
    <row r="520" spans="1:7" ht="18.75">
      <c r="A520" s="123"/>
      <c r="B520" s="124"/>
      <c r="E520" s="145"/>
      <c r="F520" s="145"/>
      <c r="G520" s="125"/>
    </row>
    <row r="521" spans="1:7" ht="18.75">
      <c r="A521" s="123"/>
      <c r="B521" s="124"/>
      <c r="E521" s="145"/>
      <c r="F521" s="145"/>
      <c r="G521" s="125"/>
    </row>
    <row r="522" spans="1:7" ht="18.75">
      <c r="A522" s="123"/>
      <c r="B522" s="124"/>
      <c r="E522" s="145"/>
      <c r="F522" s="145"/>
      <c r="G522" s="125"/>
    </row>
    <row r="523" spans="1:7" ht="18.75">
      <c r="A523" s="123"/>
      <c r="B523" s="124"/>
      <c r="E523" s="145"/>
      <c r="F523" s="145"/>
      <c r="G523" s="125"/>
    </row>
    <row r="524" spans="1:7" ht="18.75">
      <c r="A524" s="123"/>
      <c r="B524" s="124"/>
      <c r="E524" s="145"/>
      <c r="F524" s="145"/>
      <c r="G524" s="125"/>
    </row>
    <row r="525" spans="1:7" ht="18.75">
      <c r="A525" s="123"/>
      <c r="B525" s="124"/>
      <c r="E525" s="145"/>
      <c r="F525" s="145"/>
      <c r="G525" s="125"/>
    </row>
    <row r="526" spans="1:7" ht="18.75">
      <c r="A526" s="123"/>
      <c r="B526" s="124"/>
      <c r="E526" s="145"/>
      <c r="F526" s="145"/>
      <c r="G526" s="125"/>
    </row>
    <row r="527" spans="1:7" ht="18.75">
      <c r="A527" s="123"/>
      <c r="B527" s="124"/>
      <c r="E527" s="145"/>
      <c r="F527" s="145"/>
      <c r="G527" s="125"/>
    </row>
    <row r="528" spans="1:7" ht="18.75">
      <c r="A528" s="127"/>
      <c r="B528" s="128"/>
      <c r="C528" s="128"/>
      <c r="D528" s="128"/>
      <c r="E528" s="127"/>
      <c r="F528" s="129"/>
      <c r="G528" s="129"/>
    </row>
    <row r="529" spans="6:7" ht="19.5" thickBot="1">
      <c r="F529" s="130">
        <f>SUM(F512:F528)</f>
        <v>91400</v>
      </c>
      <c r="G529" s="130">
        <f>SUM(G512:G528)</f>
        <v>91400</v>
      </c>
    </row>
    <row r="530" spans="6:7" ht="19.5" thickTop="1">
      <c r="F530" s="3"/>
      <c r="G530" s="3"/>
    </row>
    <row r="531" spans="1:8" ht="18.75">
      <c r="A531" s="4" t="s">
        <v>141</v>
      </c>
      <c r="B531" s="4" t="s">
        <v>501</v>
      </c>
      <c r="E531" s="173"/>
      <c r="F531" s="3"/>
      <c r="G531" s="131"/>
      <c r="H531" s="3"/>
    </row>
    <row r="532" spans="2:8" ht="18.75">
      <c r="B532" s="4" t="s">
        <v>502</v>
      </c>
      <c r="E532" s="173"/>
      <c r="F532" s="3"/>
      <c r="G532" s="3"/>
      <c r="H532" s="3"/>
    </row>
    <row r="533" spans="1:7" ht="18.75">
      <c r="A533" s="4"/>
      <c r="B533" s="4" t="s">
        <v>503</v>
      </c>
      <c r="F533" s="3"/>
      <c r="G533" s="3"/>
    </row>
    <row r="534" spans="1:7" ht="18.75">
      <c r="A534" s="693" t="s">
        <v>144</v>
      </c>
      <c r="B534" s="694"/>
      <c r="C534" s="695"/>
      <c r="D534" s="692" t="s">
        <v>143</v>
      </c>
      <c r="E534" s="692"/>
      <c r="F534" s="692" t="s">
        <v>142</v>
      </c>
      <c r="G534" s="692"/>
    </row>
    <row r="535" spans="1:7" ht="18.75">
      <c r="A535" s="123"/>
      <c r="B535" s="124"/>
      <c r="C535" s="126"/>
      <c r="D535" s="123"/>
      <c r="E535" s="126"/>
      <c r="F535" s="123"/>
      <c r="G535" s="126"/>
    </row>
    <row r="536" spans="1:7" ht="18.75">
      <c r="A536" s="696" t="s">
        <v>351</v>
      </c>
      <c r="B536" s="697"/>
      <c r="C536" s="698"/>
      <c r="D536" s="696" t="s">
        <v>33</v>
      </c>
      <c r="E536" s="698"/>
      <c r="F536" s="696" t="str">
        <f>+A536</f>
        <v>(นางสาววรรณา  ผลบุญ)</v>
      </c>
      <c r="G536" s="698"/>
    </row>
    <row r="537" spans="1:7" ht="18.75">
      <c r="A537" s="696" t="s">
        <v>352</v>
      </c>
      <c r="B537" s="697"/>
      <c r="C537" s="698"/>
      <c r="D537" s="696" t="s">
        <v>389</v>
      </c>
      <c r="E537" s="698"/>
      <c r="F537" s="696" t="str">
        <f>+A537</f>
        <v>เจ้าพนักงานการเงินและบัญชี</v>
      </c>
      <c r="G537" s="698"/>
    </row>
    <row r="538" spans="1:7" ht="18.75">
      <c r="A538" s="127"/>
      <c r="B538" s="128"/>
      <c r="C538" s="133"/>
      <c r="D538" s="687" t="s">
        <v>36</v>
      </c>
      <c r="E538" s="688"/>
      <c r="F538" s="127"/>
      <c r="G538" s="133"/>
    </row>
    <row r="539" ht="18.75">
      <c r="G539" s="118" t="s">
        <v>508</v>
      </c>
    </row>
    <row r="540" ht="18.75">
      <c r="G540" s="118" t="s">
        <v>479</v>
      </c>
    </row>
    <row r="541" spans="1:7" ht="18.75">
      <c r="A541" s="700" t="s">
        <v>153</v>
      </c>
      <c r="B541" s="700"/>
      <c r="C541" s="700"/>
      <c r="D541" s="700"/>
      <c r="E541" s="700"/>
      <c r="F541" s="700"/>
      <c r="G541" s="700"/>
    </row>
    <row r="542" ht="18.75">
      <c r="A542" s="4" t="s">
        <v>138</v>
      </c>
    </row>
    <row r="543" spans="1:7" ht="18.75">
      <c r="A543" s="517" t="s">
        <v>0</v>
      </c>
      <c r="B543" s="518"/>
      <c r="C543" s="518"/>
      <c r="D543" s="518"/>
      <c r="E543" s="444" t="s">
        <v>139</v>
      </c>
      <c r="F543" s="444" t="s">
        <v>40</v>
      </c>
      <c r="G543" s="444" t="s">
        <v>1</v>
      </c>
    </row>
    <row r="544" spans="1:7" ht="18.75">
      <c r="A544" s="144" t="s">
        <v>9</v>
      </c>
      <c r="B544" s="510"/>
      <c r="C544" s="510"/>
      <c r="D544" s="510"/>
      <c r="E544" s="511">
        <v>541000</v>
      </c>
      <c r="F544" s="135">
        <v>3500</v>
      </c>
      <c r="G544" s="135"/>
    </row>
    <row r="545" spans="1:7" ht="18.75">
      <c r="A545" s="136"/>
      <c r="B545" s="124" t="s">
        <v>14</v>
      </c>
      <c r="E545" s="511">
        <v>210400</v>
      </c>
      <c r="F545" s="145"/>
      <c r="G545" s="125">
        <f>+F544</f>
        <v>3500</v>
      </c>
    </row>
    <row r="546" spans="1:7" ht="18.75">
      <c r="A546" s="138"/>
      <c r="B546" s="124"/>
      <c r="E546" s="146"/>
      <c r="F546" s="145"/>
      <c r="G546" s="125"/>
    </row>
    <row r="547" spans="1:7" ht="18.75">
      <c r="A547" s="138"/>
      <c r="B547" s="124"/>
      <c r="E547" s="145"/>
      <c r="F547" s="145"/>
      <c r="G547" s="125"/>
    </row>
    <row r="548" spans="1:7" ht="18.75">
      <c r="A548" s="138"/>
      <c r="B548" s="124"/>
      <c r="E548" s="145"/>
      <c r="F548" s="145"/>
      <c r="G548" s="125"/>
    </row>
    <row r="549" spans="1:7" ht="18.75">
      <c r="A549" s="123"/>
      <c r="B549" s="124"/>
      <c r="E549" s="145"/>
      <c r="F549" s="145"/>
      <c r="G549" s="125"/>
    </row>
    <row r="550" spans="1:7" ht="18.75">
      <c r="A550" s="123"/>
      <c r="B550" s="124"/>
      <c r="E550" s="145"/>
      <c r="F550" s="145"/>
      <c r="G550" s="125"/>
    </row>
    <row r="551" spans="1:7" ht="18.75">
      <c r="A551" s="123"/>
      <c r="B551" s="124"/>
      <c r="E551" s="145"/>
      <c r="F551" s="145"/>
      <c r="G551" s="125"/>
    </row>
    <row r="552" spans="1:7" ht="18.75">
      <c r="A552" s="123"/>
      <c r="B552" s="124"/>
      <c r="E552" s="145"/>
      <c r="F552" s="145"/>
      <c r="G552" s="125"/>
    </row>
    <row r="553" spans="1:7" ht="18.75">
      <c r="A553" s="123"/>
      <c r="B553" s="124"/>
      <c r="E553" s="145"/>
      <c r="F553" s="145"/>
      <c r="G553" s="125"/>
    </row>
    <row r="554" spans="1:7" ht="18.75">
      <c r="A554" s="123"/>
      <c r="B554" s="124"/>
      <c r="E554" s="145"/>
      <c r="F554" s="145"/>
      <c r="G554" s="125"/>
    </row>
    <row r="555" spans="1:7" ht="18.75">
      <c r="A555" s="123"/>
      <c r="B555" s="124"/>
      <c r="E555" s="145"/>
      <c r="F555" s="145"/>
      <c r="G555" s="125"/>
    </row>
    <row r="556" spans="1:7" ht="18.75">
      <c r="A556" s="123"/>
      <c r="B556" s="124"/>
      <c r="E556" s="145"/>
      <c r="F556" s="145"/>
      <c r="G556" s="125"/>
    </row>
    <row r="557" spans="1:7" ht="18.75">
      <c r="A557" s="123"/>
      <c r="B557" s="124"/>
      <c r="E557" s="145"/>
      <c r="F557" s="145"/>
      <c r="G557" s="125"/>
    </row>
    <row r="558" spans="1:7" ht="18.75">
      <c r="A558" s="123"/>
      <c r="B558" s="124"/>
      <c r="E558" s="145"/>
      <c r="F558" s="145"/>
      <c r="G558" s="125"/>
    </row>
    <row r="559" spans="1:7" ht="18.75">
      <c r="A559" s="123"/>
      <c r="B559" s="124"/>
      <c r="E559" s="145"/>
      <c r="F559" s="145"/>
      <c r="G559" s="125"/>
    </row>
    <row r="560" spans="1:7" ht="18.75">
      <c r="A560" s="127"/>
      <c r="B560" s="128"/>
      <c r="C560" s="128"/>
      <c r="D560" s="128"/>
      <c r="E560" s="127"/>
      <c r="F560" s="129"/>
      <c r="G560" s="129"/>
    </row>
    <row r="561" spans="6:7" ht="19.5" thickBot="1">
      <c r="F561" s="130">
        <f>SUM(F544:F560)</f>
        <v>3500</v>
      </c>
      <c r="G561" s="130">
        <f>SUM(G544:G560)</f>
        <v>3500</v>
      </c>
    </row>
    <row r="562" spans="6:7" ht="19.5" thickTop="1">
      <c r="F562" s="3"/>
      <c r="G562" s="3"/>
    </row>
    <row r="563" spans="1:7" ht="18.75">
      <c r="A563" s="4" t="s">
        <v>141</v>
      </c>
      <c r="B563" s="4" t="s">
        <v>509</v>
      </c>
      <c r="E563" s="173"/>
      <c r="F563" s="3"/>
      <c r="G563" s="131"/>
    </row>
    <row r="564" spans="2:7" ht="18.75">
      <c r="B564" s="4" t="s">
        <v>510</v>
      </c>
      <c r="E564" s="173"/>
      <c r="F564" s="3"/>
      <c r="G564" s="3"/>
    </row>
    <row r="565" spans="1:7" ht="18.75">
      <c r="A565" s="4"/>
      <c r="B565" s="4" t="s">
        <v>511</v>
      </c>
      <c r="F565" s="3"/>
      <c r="G565" s="3"/>
    </row>
    <row r="566" spans="1:7" ht="18.75">
      <c r="A566" s="693" t="s">
        <v>144</v>
      </c>
      <c r="B566" s="694"/>
      <c r="C566" s="695"/>
      <c r="D566" s="692" t="s">
        <v>143</v>
      </c>
      <c r="E566" s="692"/>
      <c r="F566" s="692" t="s">
        <v>142</v>
      </c>
      <c r="G566" s="692"/>
    </row>
    <row r="567" spans="1:7" ht="18.75">
      <c r="A567" s="123"/>
      <c r="B567" s="124"/>
      <c r="C567" s="126"/>
      <c r="D567" s="123"/>
      <c r="E567" s="126"/>
      <c r="F567" s="123"/>
      <c r="G567" s="126"/>
    </row>
    <row r="568" spans="1:7" ht="18.75">
      <c r="A568" s="696" t="s">
        <v>351</v>
      </c>
      <c r="B568" s="697"/>
      <c r="C568" s="698"/>
      <c r="D568" s="696" t="s">
        <v>33</v>
      </c>
      <c r="E568" s="698"/>
      <c r="F568" s="696" t="str">
        <f>+A568</f>
        <v>(นางสาววรรณา  ผลบุญ)</v>
      </c>
      <c r="G568" s="698"/>
    </row>
    <row r="569" spans="1:7" ht="18.75">
      <c r="A569" s="696" t="s">
        <v>352</v>
      </c>
      <c r="B569" s="697"/>
      <c r="C569" s="698"/>
      <c r="D569" s="696" t="s">
        <v>389</v>
      </c>
      <c r="E569" s="698"/>
      <c r="F569" s="696" t="str">
        <f>+A569</f>
        <v>เจ้าพนักงานการเงินและบัญชี</v>
      </c>
      <c r="G569" s="698"/>
    </row>
    <row r="570" spans="1:7" ht="18.75">
      <c r="A570" s="127"/>
      <c r="B570" s="128"/>
      <c r="C570" s="133"/>
      <c r="D570" s="687" t="s">
        <v>36</v>
      </c>
      <c r="E570" s="688"/>
      <c r="F570" s="127"/>
      <c r="G570" s="133"/>
    </row>
    <row r="571" ht="18.75">
      <c r="G571" s="118" t="s">
        <v>504</v>
      </c>
    </row>
    <row r="572" ht="18.75">
      <c r="G572" s="118" t="s">
        <v>479</v>
      </c>
    </row>
    <row r="573" spans="1:7" ht="18.75">
      <c r="A573" s="700" t="s">
        <v>153</v>
      </c>
      <c r="B573" s="700"/>
      <c r="C573" s="700"/>
      <c r="D573" s="700"/>
      <c r="E573" s="700"/>
      <c r="F573" s="700"/>
      <c r="G573" s="700"/>
    </row>
    <row r="574" ht="18.75">
      <c r="A574" s="4" t="s">
        <v>138</v>
      </c>
    </row>
    <row r="575" spans="1:7" ht="18.75">
      <c r="A575" s="517" t="s">
        <v>0</v>
      </c>
      <c r="B575" s="518"/>
      <c r="C575" s="518"/>
      <c r="D575" s="518"/>
      <c r="E575" s="444" t="s">
        <v>139</v>
      </c>
      <c r="F575" s="444" t="s">
        <v>40</v>
      </c>
      <c r="G575" s="444" t="s">
        <v>1</v>
      </c>
    </row>
    <row r="576" spans="1:7" ht="18.75">
      <c r="A576" s="144" t="s">
        <v>6</v>
      </c>
      <c r="B576" s="510"/>
      <c r="C576" s="510"/>
      <c r="D576" s="510"/>
      <c r="E576" s="511">
        <v>532000</v>
      </c>
      <c r="F576" s="135">
        <v>44980</v>
      </c>
      <c r="G576" s="135"/>
    </row>
    <row r="577" spans="1:7" ht="18.75">
      <c r="A577" s="136"/>
      <c r="B577" s="124" t="s">
        <v>14</v>
      </c>
      <c r="E577" s="511">
        <v>210400</v>
      </c>
      <c r="F577" s="145"/>
      <c r="G577" s="125">
        <f>+F576</f>
        <v>44980</v>
      </c>
    </row>
    <row r="578" spans="1:7" ht="18.75">
      <c r="A578" s="138"/>
      <c r="B578" s="124"/>
      <c r="E578" s="146"/>
      <c r="F578" s="145"/>
      <c r="G578" s="125"/>
    </row>
    <row r="579" spans="1:7" ht="18.75">
      <c r="A579" s="138"/>
      <c r="B579" s="124"/>
      <c r="E579" s="145"/>
      <c r="F579" s="145"/>
      <c r="G579" s="125"/>
    </row>
    <row r="580" spans="1:7" ht="18.75">
      <c r="A580" s="138"/>
      <c r="B580" s="124"/>
      <c r="E580" s="145"/>
      <c r="F580" s="145"/>
      <c r="G580" s="125"/>
    </row>
    <row r="581" spans="1:7" ht="18.75">
      <c r="A581" s="123"/>
      <c r="B581" s="124"/>
      <c r="E581" s="145"/>
      <c r="F581" s="145"/>
      <c r="G581" s="125"/>
    </row>
    <row r="582" spans="1:7" ht="18.75">
      <c r="A582" s="123"/>
      <c r="B582" s="124"/>
      <c r="E582" s="145"/>
      <c r="F582" s="145"/>
      <c r="G582" s="125"/>
    </row>
    <row r="583" spans="1:7" ht="18.75">
      <c r="A583" s="123"/>
      <c r="B583" s="124"/>
      <c r="E583" s="145"/>
      <c r="F583" s="145"/>
      <c r="G583" s="125"/>
    </row>
    <row r="584" spans="1:7" ht="18.75">
      <c r="A584" s="123"/>
      <c r="B584" s="124"/>
      <c r="E584" s="145"/>
      <c r="F584" s="145"/>
      <c r="G584" s="125"/>
    </row>
    <row r="585" spans="1:7" ht="18.75">
      <c r="A585" s="123"/>
      <c r="B585" s="124"/>
      <c r="E585" s="145"/>
      <c r="F585" s="145"/>
      <c r="G585" s="125"/>
    </row>
    <row r="586" spans="1:7" ht="18.75">
      <c r="A586" s="123"/>
      <c r="B586" s="124"/>
      <c r="E586" s="145"/>
      <c r="F586" s="145"/>
      <c r="G586" s="125"/>
    </row>
    <row r="587" spans="1:7" ht="18.75">
      <c r="A587" s="123"/>
      <c r="B587" s="124"/>
      <c r="E587" s="145"/>
      <c r="F587" s="145"/>
      <c r="G587" s="125"/>
    </row>
    <row r="588" spans="1:7" ht="18.75">
      <c r="A588" s="123"/>
      <c r="B588" s="124"/>
      <c r="E588" s="145"/>
      <c r="F588" s="145"/>
      <c r="G588" s="125"/>
    </row>
    <row r="589" spans="1:7" ht="18.75">
      <c r="A589" s="123"/>
      <c r="B589" s="124"/>
      <c r="E589" s="145"/>
      <c r="F589" s="145"/>
      <c r="G589" s="125"/>
    </row>
    <row r="590" spans="1:7" ht="18.75">
      <c r="A590" s="123"/>
      <c r="B590" s="124"/>
      <c r="E590" s="145"/>
      <c r="F590" s="145"/>
      <c r="G590" s="125"/>
    </row>
    <row r="591" spans="1:7" ht="18.75">
      <c r="A591" s="123"/>
      <c r="B591" s="124"/>
      <c r="E591" s="145"/>
      <c r="F591" s="145"/>
      <c r="G591" s="125"/>
    </row>
    <row r="592" spans="1:7" ht="18.75">
      <c r="A592" s="127"/>
      <c r="B592" s="128"/>
      <c r="C592" s="128"/>
      <c r="D592" s="128"/>
      <c r="E592" s="127"/>
      <c r="F592" s="129"/>
      <c r="G592" s="129"/>
    </row>
    <row r="593" spans="6:7" ht="19.5" thickBot="1">
      <c r="F593" s="130">
        <f>SUM(F576:F592)</f>
        <v>44980</v>
      </c>
      <c r="G593" s="130">
        <f>SUM(G576:G592)</f>
        <v>44980</v>
      </c>
    </row>
    <row r="594" spans="6:7" ht="19.5" thickTop="1">
      <c r="F594" s="3"/>
      <c r="G594" s="3"/>
    </row>
    <row r="595" spans="1:7" ht="18.75">
      <c r="A595" s="4" t="s">
        <v>141</v>
      </c>
      <c r="B595" s="4" t="s">
        <v>505</v>
      </c>
      <c r="E595" s="173"/>
      <c r="F595" s="3"/>
      <c r="G595" s="131"/>
    </row>
    <row r="596" spans="2:7" ht="18.75">
      <c r="B596" s="4" t="s">
        <v>506</v>
      </c>
      <c r="E596" s="173"/>
      <c r="F596" s="3"/>
      <c r="G596" s="3"/>
    </row>
    <row r="597" spans="1:7" ht="18.75">
      <c r="A597" s="4"/>
      <c r="B597" s="4" t="s">
        <v>507</v>
      </c>
      <c r="F597" s="3"/>
      <c r="G597" s="3"/>
    </row>
    <row r="598" spans="1:7" ht="18.75">
      <c r="A598" s="693" t="s">
        <v>144</v>
      </c>
      <c r="B598" s="694"/>
      <c r="C598" s="695"/>
      <c r="D598" s="692" t="s">
        <v>143</v>
      </c>
      <c r="E598" s="692"/>
      <c r="F598" s="692" t="s">
        <v>142</v>
      </c>
      <c r="G598" s="692"/>
    </row>
    <row r="599" spans="1:7" ht="18.75">
      <c r="A599" s="123"/>
      <c r="B599" s="124"/>
      <c r="C599" s="126"/>
      <c r="D599" s="123"/>
      <c r="E599" s="126"/>
      <c r="F599" s="123"/>
      <c r="G599" s="126"/>
    </row>
    <row r="600" spans="1:7" ht="18.75">
      <c r="A600" s="696" t="s">
        <v>351</v>
      </c>
      <c r="B600" s="697"/>
      <c r="C600" s="698"/>
      <c r="D600" s="696" t="s">
        <v>33</v>
      </c>
      <c r="E600" s="698"/>
      <c r="F600" s="696" t="str">
        <f>+A600</f>
        <v>(นางสาววรรณา  ผลบุญ)</v>
      </c>
      <c r="G600" s="698"/>
    </row>
    <row r="601" spans="1:7" ht="18.75">
      <c r="A601" s="696" t="s">
        <v>352</v>
      </c>
      <c r="B601" s="697"/>
      <c r="C601" s="698"/>
      <c r="D601" s="696" t="s">
        <v>389</v>
      </c>
      <c r="E601" s="698"/>
      <c r="F601" s="696" t="str">
        <f>+A601</f>
        <v>เจ้าพนักงานการเงินและบัญชี</v>
      </c>
      <c r="G601" s="698"/>
    </row>
    <row r="602" spans="1:7" ht="18.75">
      <c r="A602" s="127"/>
      <c r="B602" s="128"/>
      <c r="C602" s="133"/>
      <c r="D602" s="687" t="s">
        <v>36</v>
      </c>
      <c r="E602" s="688"/>
      <c r="F602" s="127"/>
      <c r="G602" s="133"/>
    </row>
    <row r="603" spans="5:7" ht="18.75">
      <c r="E603" s="173"/>
      <c r="F603" s="3"/>
      <c r="G603" s="118" t="s">
        <v>512</v>
      </c>
    </row>
    <row r="604" spans="5:7" ht="18.75">
      <c r="E604" s="173"/>
      <c r="F604" s="3"/>
      <c r="G604" s="118" t="s">
        <v>479</v>
      </c>
    </row>
    <row r="605" spans="1:7" ht="18.75">
      <c r="A605" s="700" t="s">
        <v>153</v>
      </c>
      <c r="B605" s="700"/>
      <c r="C605" s="700"/>
      <c r="D605" s="700"/>
      <c r="E605" s="700"/>
      <c r="F605" s="700"/>
      <c r="G605" s="700"/>
    </row>
    <row r="606" spans="1:6" ht="18.75">
      <c r="A606" s="4" t="s">
        <v>138</v>
      </c>
      <c r="E606" s="173"/>
      <c r="F606" s="3"/>
    </row>
    <row r="607" spans="1:10" ht="18.75">
      <c r="A607" s="517" t="s">
        <v>0</v>
      </c>
      <c r="B607" s="518"/>
      <c r="C607" s="518"/>
      <c r="D607" s="518"/>
      <c r="E607" s="444" t="s">
        <v>139</v>
      </c>
      <c r="F607" s="248" t="s">
        <v>40</v>
      </c>
      <c r="G607" s="444" t="s">
        <v>1</v>
      </c>
      <c r="J607" s="2">
        <f>7780-5000</f>
        <v>2780</v>
      </c>
    </row>
    <row r="608" spans="1:7" ht="18.75">
      <c r="A608" s="144" t="s">
        <v>513</v>
      </c>
      <c r="B608" s="510"/>
      <c r="C608" s="510"/>
      <c r="D608" s="510"/>
      <c r="E608" s="511">
        <v>510000</v>
      </c>
      <c r="F608" s="135">
        <v>450</v>
      </c>
      <c r="G608" s="135"/>
    </row>
    <row r="609" spans="1:7" ht="18.75">
      <c r="A609" s="136"/>
      <c r="B609" s="124" t="s">
        <v>514</v>
      </c>
      <c r="E609" s="511">
        <v>230111</v>
      </c>
      <c r="F609" s="125"/>
      <c r="G609" s="125">
        <f>+F608</f>
        <v>450</v>
      </c>
    </row>
    <row r="610" spans="1:7" ht="18.75">
      <c r="A610" s="138"/>
      <c r="B610" s="124"/>
      <c r="E610" s="146"/>
      <c r="F610" s="125"/>
      <c r="G610" s="125"/>
    </row>
    <row r="611" spans="1:7" ht="18.75">
      <c r="A611" s="138"/>
      <c r="B611" s="124"/>
      <c r="E611" s="146"/>
      <c r="F611" s="125"/>
      <c r="G611" s="125"/>
    </row>
    <row r="612" spans="1:7" ht="18.75">
      <c r="A612" s="138"/>
      <c r="B612" s="124"/>
      <c r="E612" s="146"/>
      <c r="F612" s="125"/>
      <c r="G612" s="125"/>
    </row>
    <row r="613" spans="1:7" ht="18.75">
      <c r="A613" s="123"/>
      <c r="B613" s="124"/>
      <c r="E613" s="146"/>
      <c r="F613" s="125"/>
      <c r="G613" s="125"/>
    </row>
    <row r="614" spans="1:7" ht="18.75">
      <c r="A614" s="123"/>
      <c r="B614" s="124"/>
      <c r="E614" s="146"/>
      <c r="F614" s="125"/>
      <c r="G614" s="125"/>
    </row>
    <row r="615" spans="1:7" ht="18.75">
      <c r="A615" s="123"/>
      <c r="B615" s="124"/>
      <c r="E615" s="146"/>
      <c r="F615" s="125"/>
      <c r="G615" s="125"/>
    </row>
    <row r="616" spans="1:7" ht="18.75">
      <c r="A616" s="123"/>
      <c r="B616" s="124"/>
      <c r="E616" s="146"/>
      <c r="F616" s="125"/>
      <c r="G616" s="125"/>
    </row>
    <row r="617" spans="1:7" ht="18.75">
      <c r="A617" s="123"/>
      <c r="B617" s="124"/>
      <c r="E617" s="146"/>
      <c r="F617" s="125"/>
      <c r="G617" s="125"/>
    </row>
    <row r="618" spans="1:7" ht="18.75">
      <c r="A618" s="123"/>
      <c r="B618" s="124"/>
      <c r="E618" s="146"/>
      <c r="F618" s="125"/>
      <c r="G618" s="125"/>
    </row>
    <row r="619" spans="1:7" ht="18.75">
      <c r="A619" s="123"/>
      <c r="B619" s="124"/>
      <c r="E619" s="146"/>
      <c r="F619" s="125"/>
      <c r="G619" s="125"/>
    </row>
    <row r="620" spans="1:7" ht="18.75">
      <c r="A620" s="123"/>
      <c r="B620" s="124"/>
      <c r="E620" s="146"/>
      <c r="F620" s="125"/>
      <c r="G620" s="125"/>
    </row>
    <row r="621" spans="1:7" ht="18.75">
      <c r="A621" s="123"/>
      <c r="B621" s="124"/>
      <c r="E621" s="146"/>
      <c r="F621" s="125"/>
      <c r="G621" s="125"/>
    </row>
    <row r="622" spans="1:7" ht="18.75">
      <c r="A622" s="123"/>
      <c r="B622" s="124"/>
      <c r="E622" s="146"/>
      <c r="F622" s="125"/>
      <c r="G622" s="125"/>
    </row>
    <row r="623" spans="1:7" ht="18.75">
      <c r="A623" s="123"/>
      <c r="B623" s="124"/>
      <c r="E623" s="146"/>
      <c r="F623" s="125"/>
      <c r="G623" s="125"/>
    </row>
    <row r="624" spans="1:7" ht="18.75">
      <c r="A624" s="123"/>
      <c r="B624" s="124"/>
      <c r="E624" s="146"/>
      <c r="F624" s="125"/>
      <c r="G624" s="125"/>
    </row>
    <row r="625" spans="1:7" ht="18.75">
      <c r="A625" s="127"/>
      <c r="B625" s="128"/>
      <c r="C625" s="128"/>
      <c r="D625" s="128"/>
      <c r="E625" s="507"/>
      <c r="F625" s="129"/>
      <c r="G625" s="129"/>
    </row>
    <row r="626" spans="5:7" ht="19.5" thickBot="1">
      <c r="E626" s="173"/>
      <c r="F626" s="130">
        <f>SUM(F608:F625)</f>
        <v>450</v>
      </c>
      <c r="G626" s="130">
        <f>SUM(G608:G625)</f>
        <v>450</v>
      </c>
    </row>
    <row r="627" spans="5:7" ht="19.5" thickTop="1">
      <c r="E627" s="173"/>
      <c r="F627" s="3"/>
      <c r="G627" s="3"/>
    </row>
    <row r="628" spans="1:7" ht="18.75">
      <c r="A628" s="4" t="s">
        <v>141</v>
      </c>
      <c r="B628" s="4" t="s">
        <v>515</v>
      </c>
      <c r="E628" s="173"/>
      <c r="F628" s="3"/>
      <c r="G628" s="131"/>
    </row>
    <row r="629" spans="2:7" ht="18.75">
      <c r="B629" s="4"/>
      <c r="E629" s="173"/>
      <c r="F629" s="3"/>
      <c r="G629" s="3"/>
    </row>
    <row r="630" spans="2:7" ht="18.75">
      <c r="B630" s="4"/>
      <c r="E630" s="173"/>
      <c r="F630" s="3"/>
      <c r="G630" s="3"/>
    </row>
    <row r="631" spans="1:7" ht="18.75">
      <c r="A631" s="693" t="s">
        <v>144</v>
      </c>
      <c r="B631" s="694"/>
      <c r="C631" s="695"/>
      <c r="D631" s="693" t="s">
        <v>143</v>
      </c>
      <c r="E631" s="695"/>
      <c r="F631" s="693" t="s">
        <v>142</v>
      </c>
      <c r="G631" s="695"/>
    </row>
    <row r="632" spans="1:7" ht="18.75">
      <c r="A632" s="123"/>
      <c r="B632" s="124"/>
      <c r="C632" s="126"/>
      <c r="D632" s="123"/>
      <c r="E632" s="513"/>
      <c r="F632" s="249"/>
      <c r="G632" s="126"/>
    </row>
    <row r="633" spans="1:7" ht="18.75">
      <c r="A633" s="696" t="s">
        <v>351</v>
      </c>
      <c r="B633" s="697"/>
      <c r="C633" s="698"/>
      <c r="D633" s="696" t="s">
        <v>33</v>
      </c>
      <c r="E633" s="698"/>
      <c r="F633" s="696" t="str">
        <f>+A633</f>
        <v>(นางสาววรรณา  ผลบุญ)</v>
      </c>
      <c r="G633" s="698"/>
    </row>
    <row r="634" spans="1:7" ht="18.75">
      <c r="A634" s="696" t="s">
        <v>352</v>
      </c>
      <c r="B634" s="697"/>
      <c r="C634" s="698"/>
      <c r="D634" s="696" t="s">
        <v>389</v>
      </c>
      <c r="E634" s="698"/>
      <c r="F634" s="696" t="str">
        <f>+A634</f>
        <v>เจ้าพนักงานการเงินและบัญชี</v>
      </c>
      <c r="G634" s="698"/>
    </row>
    <row r="635" spans="1:7" ht="18.75">
      <c r="A635" s="507"/>
      <c r="B635" s="520"/>
      <c r="C635" s="508"/>
      <c r="D635" s="687" t="s">
        <v>36</v>
      </c>
      <c r="E635" s="688"/>
      <c r="F635" s="250"/>
      <c r="G635" s="508"/>
    </row>
    <row r="636" spans="5:7" ht="18.75">
      <c r="E636" s="173"/>
      <c r="F636" s="3"/>
      <c r="G636" s="118" t="s">
        <v>517</v>
      </c>
    </row>
    <row r="637" spans="5:7" ht="18.75">
      <c r="E637" s="173"/>
      <c r="F637" s="3"/>
      <c r="G637" s="118" t="s">
        <v>479</v>
      </c>
    </row>
    <row r="638" spans="1:7" ht="18.75">
      <c r="A638" s="700" t="s">
        <v>153</v>
      </c>
      <c r="B638" s="700"/>
      <c r="C638" s="700"/>
      <c r="D638" s="700"/>
      <c r="E638" s="700"/>
      <c r="F638" s="700"/>
      <c r="G638" s="700"/>
    </row>
    <row r="639" spans="1:6" ht="18.75">
      <c r="A639" s="4" t="s">
        <v>138</v>
      </c>
      <c r="E639" s="173"/>
      <c r="F639" s="3"/>
    </row>
    <row r="640" spans="1:7" ht="18.75">
      <c r="A640" s="517" t="s">
        <v>0</v>
      </c>
      <c r="B640" s="518"/>
      <c r="C640" s="518"/>
      <c r="D640" s="518"/>
      <c r="E640" s="444" t="s">
        <v>139</v>
      </c>
      <c r="F640" s="248" t="s">
        <v>40</v>
      </c>
      <c r="G640" s="444" t="s">
        <v>1</v>
      </c>
    </row>
    <row r="641" spans="1:7" ht="18.75">
      <c r="A641" s="144" t="s">
        <v>60</v>
      </c>
      <c r="B641" s="510"/>
      <c r="C641" s="510"/>
      <c r="D641" s="510"/>
      <c r="E641" s="511">
        <v>110604</v>
      </c>
      <c r="F641" s="135">
        <v>26332.5</v>
      </c>
      <c r="G641" s="135"/>
    </row>
    <row r="642" spans="1:7" ht="18.75">
      <c r="A642" s="136"/>
      <c r="B642" s="124" t="s">
        <v>64</v>
      </c>
      <c r="E642" s="511">
        <v>414999</v>
      </c>
      <c r="F642" s="125"/>
      <c r="G642" s="125">
        <f>+F641</f>
        <v>26332.5</v>
      </c>
    </row>
    <row r="643" spans="1:7" ht="18.75">
      <c r="A643" s="138"/>
      <c r="B643" s="124"/>
      <c r="E643" s="146"/>
      <c r="F643" s="125"/>
      <c r="G643" s="125"/>
    </row>
    <row r="644" spans="1:7" ht="18.75">
      <c r="A644" s="138"/>
      <c r="B644" s="124"/>
      <c r="E644" s="146"/>
      <c r="F644" s="125"/>
      <c r="G644" s="125"/>
    </row>
    <row r="645" spans="1:7" ht="18.75">
      <c r="A645" s="138"/>
      <c r="B645" s="124"/>
      <c r="E645" s="146"/>
      <c r="F645" s="125"/>
      <c r="G645" s="125"/>
    </row>
    <row r="646" spans="1:7" ht="18.75">
      <c r="A646" s="123"/>
      <c r="B646" s="124"/>
      <c r="E646" s="146"/>
      <c r="F646" s="125"/>
      <c r="G646" s="125"/>
    </row>
    <row r="647" spans="1:7" ht="18.75">
      <c r="A647" s="123"/>
      <c r="B647" s="124"/>
      <c r="E647" s="146"/>
      <c r="F647" s="125"/>
      <c r="G647" s="125"/>
    </row>
    <row r="648" spans="1:7" ht="18.75">
      <c r="A648" s="123"/>
      <c r="B648" s="124"/>
      <c r="E648" s="146"/>
      <c r="F648" s="125"/>
      <c r="G648" s="125"/>
    </row>
    <row r="649" spans="1:7" ht="18.75">
      <c r="A649" s="123"/>
      <c r="B649" s="124"/>
      <c r="E649" s="146"/>
      <c r="F649" s="125"/>
      <c r="G649" s="125"/>
    </row>
    <row r="650" spans="1:7" ht="18.75">
      <c r="A650" s="123"/>
      <c r="B650" s="124"/>
      <c r="E650" s="146"/>
      <c r="F650" s="125"/>
      <c r="G650" s="125"/>
    </row>
    <row r="651" spans="1:7" ht="18.75">
      <c r="A651" s="123"/>
      <c r="B651" s="124"/>
      <c r="E651" s="146"/>
      <c r="F651" s="125"/>
      <c r="G651" s="125"/>
    </row>
    <row r="652" spans="1:7" ht="18.75">
      <c r="A652" s="123"/>
      <c r="B652" s="124"/>
      <c r="E652" s="146"/>
      <c r="F652" s="125"/>
      <c r="G652" s="125"/>
    </row>
    <row r="653" spans="1:7" ht="18.75">
      <c r="A653" s="123"/>
      <c r="B653" s="124"/>
      <c r="E653" s="146"/>
      <c r="F653" s="125"/>
      <c r="G653" s="125"/>
    </row>
    <row r="654" spans="1:7" ht="18.75">
      <c r="A654" s="123"/>
      <c r="B654" s="124"/>
      <c r="E654" s="146"/>
      <c r="F654" s="125"/>
      <c r="G654" s="125"/>
    </row>
    <row r="655" spans="1:7" ht="18.75">
      <c r="A655" s="123"/>
      <c r="B655" s="124"/>
      <c r="E655" s="146"/>
      <c r="F655" s="125"/>
      <c r="G655" s="125"/>
    </row>
    <row r="656" spans="1:7" ht="18.75">
      <c r="A656" s="123"/>
      <c r="B656" s="124"/>
      <c r="E656" s="146"/>
      <c r="F656" s="125"/>
      <c r="G656" s="125"/>
    </row>
    <row r="657" spans="1:7" ht="18.75">
      <c r="A657" s="123"/>
      <c r="B657" s="124"/>
      <c r="E657" s="146"/>
      <c r="F657" s="125"/>
      <c r="G657" s="125"/>
    </row>
    <row r="658" spans="1:7" ht="18.75">
      <c r="A658" s="127"/>
      <c r="B658" s="128"/>
      <c r="C658" s="128"/>
      <c r="D658" s="128"/>
      <c r="E658" s="507"/>
      <c r="F658" s="129"/>
      <c r="G658" s="129"/>
    </row>
    <row r="659" spans="5:7" ht="19.5" thickBot="1">
      <c r="E659" s="173"/>
      <c r="F659" s="130">
        <f>SUM(F641:F658)</f>
        <v>26332.5</v>
      </c>
      <c r="G659" s="130">
        <f>SUM(G641:G658)</f>
        <v>26332.5</v>
      </c>
    </row>
    <row r="660" spans="5:7" ht="19.5" thickTop="1">
      <c r="E660" s="173"/>
      <c r="F660" s="3"/>
      <c r="G660" s="3"/>
    </row>
    <row r="661" spans="1:7" ht="18.75">
      <c r="A661" s="4" t="s">
        <v>141</v>
      </c>
      <c r="B661" s="4" t="s">
        <v>518</v>
      </c>
      <c r="E661" s="173"/>
      <c r="F661" s="3"/>
      <c r="G661" s="131"/>
    </row>
    <row r="662" spans="2:7" ht="18.75">
      <c r="B662" s="4" t="s">
        <v>519</v>
      </c>
      <c r="E662" s="173"/>
      <c r="F662" s="3"/>
      <c r="G662" s="3"/>
    </row>
    <row r="663" spans="2:7" ht="18.75">
      <c r="B663" s="4"/>
      <c r="E663" s="173"/>
      <c r="F663" s="3"/>
      <c r="G663" s="3"/>
    </row>
    <row r="664" spans="1:7" ht="18.75">
      <c r="A664" s="693" t="s">
        <v>144</v>
      </c>
      <c r="B664" s="694"/>
      <c r="C664" s="695"/>
      <c r="D664" s="693" t="s">
        <v>143</v>
      </c>
      <c r="E664" s="695"/>
      <c r="F664" s="693" t="s">
        <v>142</v>
      </c>
      <c r="G664" s="695"/>
    </row>
    <row r="665" spans="1:7" ht="18.75">
      <c r="A665" s="123"/>
      <c r="B665" s="124"/>
      <c r="C665" s="126"/>
      <c r="D665" s="123"/>
      <c r="E665" s="513"/>
      <c r="F665" s="249"/>
      <c r="G665" s="126"/>
    </row>
    <row r="666" spans="1:7" ht="18.75">
      <c r="A666" s="696" t="s">
        <v>351</v>
      </c>
      <c r="B666" s="697"/>
      <c r="C666" s="698"/>
      <c r="D666" s="696" t="s">
        <v>33</v>
      </c>
      <c r="E666" s="698"/>
      <c r="F666" s="696" t="str">
        <f>+A666</f>
        <v>(นางสาววรรณา  ผลบุญ)</v>
      </c>
      <c r="G666" s="698"/>
    </row>
    <row r="667" spans="1:7" ht="18.75">
      <c r="A667" s="696" t="s">
        <v>352</v>
      </c>
      <c r="B667" s="697"/>
      <c r="C667" s="698"/>
      <c r="D667" s="696" t="s">
        <v>389</v>
      </c>
      <c r="E667" s="698"/>
      <c r="F667" s="696" t="str">
        <f>+A667</f>
        <v>เจ้าพนักงานการเงินและบัญชี</v>
      </c>
      <c r="G667" s="698"/>
    </row>
    <row r="668" spans="1:7" ht="18.75">
      <c r="A668" s="507"/>
      <c r="B668" s="520"/>
      <c r="C668" s="508"/>
      <c r="D668" s="687" t="s">
        <v>36</v>
      </c>
      <c r="E668" s="688"/>
      <c r="F668" s="250"/>
      <c r="G668" s="508"/>
    </row>
    <row r="669" spans="5:7" ht="18.75">
      <c r="E669" s="173"/>
      <c r="F669" s="3"/>
      <c r="G669" s="118" t="s">
        <v>520</v>
      </c>
    </row>
    <row r="670" spans="5:7" ht="18.75">
      <c r="E670" s="173"/>
      <c r="F670" s="3"/>
      <c r="G670" s="118" t="s">
        <v>479</v>
      </c>
    </row>
    <row r="671" spans="1:7" ht="18.75">
      <c r="A671" s="700" t="s">
        <v>153</v>
      </c>
      <c r="B671" s="700"/>
      <c r="C671" s="700"/>
      <c r="D671" s="700"/>
      <c r="E671" s="700"/>
      <c r="F671" s="700"/>
      <c r="G671" s="700"/>
    </row>
    <row r="672" spans="1:6" ht="18.75">
      <c r="A672" s="4" t="s">
        <v>138</v>
      </c>
      <c r="E672" s="173"/>
      <c r="F672" s="3"/>
    </row>
    <row r="673" spans="1:7" ht="18.75">
      <c r="A673" s="517" t="s">
        <v>0</v>
      </c>
      <c r="B673" s="518"/>
      <c r="C673" s="518"/>
      <c r="D673" s="518"/>
      <c r="E673" s="444" t="s">
        <v>139</v>
      </c>
      <c r="F673" s="248" t="s">
        <v>40</v>
      </c>
      <c r="G673" s="444" t="s">
        <v>1</v>
      </c>
    </row>
    <row r="674" spans="1:7" ht="18.75">
      <c r="A674" s="144" t="s">
        <v>57</v>
      </c>
      <c r="B674" s="510"/>
      <c r="C674" s="510"/>
      <c r="D674" s="510"/>
      <c r="E674" s="511">
        <v>110602</v>
      </c>
      <c r="F674" s="135">
        <v>2090.75</v>
      </c>
      <c r="G674" s="135"/>
    </row>
    <row r="675" spans="1:7" ht="18.75">
      <c r="A675" s="136"/>
      <c r="B675" s="124" t="s">
        <v>523</v>
      </c>
      <c r="E675" s="511">
        <v>414999</v>
      </c>
      <c r="F675" s="125"/>
      <c r="G675" s="125">
        <f>+F674</f>
        <v>2090.75</v>
      </c>
    </row>
    <row r="676" spans="1:7" ht="18.75">
      <c r="A676" s="138"/>
      <c r="B676" s="124"/>
      <c r="E676" s="146"/>
      <c r="F676" s="125"/>
      <c r="G676" s="125"/>
    </row>
    <row r="677" spans="1:7" ht="18.75">
      <c r="A677" s="138"/>
      <c r="B677" s="124"/>
      <c r="E677" s="146"/>
      <c r="F677" s="125"/>
      <c r="G677" s="125"/>
    </row>
    <row r="678" spans="1:7" ht="18.75">
      <c r="A678" s="138"/>
      <c r="B678" s="124"/>
      <c r="E678" s="146"/>
      <c r="F678" s="125"/>
      <c r="G678" s="125"/>
    </row>
    <row r="679" spans="1:7" ht="18.75">
      <c r="A679" s="123"/>
      <c r="B679" s="124"/>
      <c r="E679" s="146"/>
      <c r="F679" s="125"/>
      <c r="G679" s="125"/>
    </row>
    <row r="680" spans="1:7" ht="18.75">
      <c r="A680" s="123"/>
      <c r="B680" s="124"/>
      <c r="E680" s="146"/>
      <c r="F680" s="125"/>
      <c r="G680" s="125"/>
    </row>
    <row r="681" spans="1:7" ht="18.75">
      <c r="A681" s="123"/>
      <c r="B681" s="124"/>
      <c r="E681" s="146"/>
      <c r="F681" s="125"/>
      <c r="G681" s="125"/>
    </row>
    <row r="682" spans="1:7" ht="18.75">
      <c r="A682" s="123"/>
      <c r="B682" s="124"/>
      <c r="E682" s="146"/>
      <c r="F682" s="125"/>
      <c r="G682" s="125"/>
    </row>
    <row r="683" spans="1:7" ht="18.75">
      <c r="A683" s="123"/>
      <c r="B683" s="124"/>
      <c r="E683" s="146"/>
      <c r="F683" s="125"/>
      <c r="G683" s="125"/>
    </row>
    <row r="684" spans="1:7" ht="18.75">
      <c r="A684" s="123"/>
      <c r="B684" s="124"/>
      <c r="E684" s="146"/>
      <c r="F684" s="125"/>
      <c r="G684" s="125"/>
    </row>
    <row r="685" spans="1:7" ht="18.75">
      <c r="A685" s="123"/>
      <c r="B685" s="124"/>
      <c r="E685" s="146"/>
      <c r="F685" s="125"/>
      <c r="G685" s="125"/>
    </row>
    <row r="686" spans="1:7" ht="18.75">
      <c r="A686" s="123"/>
      <c r="B686" s="124"/>
      <c r="E686" s="146"/>
      <c r="F686" s="125"/>
      <c r="G686" s="125"/>
    </row>
    <row r="687" spans="1:7" ht="18.75">
      <c r="A687" s="123"/>
      <c r="B687" s="124"/>
      <c r="E687" s="146"/>
      <c r="F687" s="125"/>
      <c r="G687" s="125"/>
    </row>
    <row r="688" spans="1:7" ht="18.75">
      <c r="A688" s="123"/>
      <c r="B688" s="124"/>
      <c r="E688" s="146"/>
      <c r="F688" s="125"/>
      <c r="G688" s="125"/>
    </row>
    <row r="689" spans="1:7" ht="18.75">
      <c r="A689" s="123"/>
      <c r="B689" s="124"/>
      <c r="E689" s="146"/>
      <c r="F689" s="125"/>
      <c r="G689" s="125"/>
    </row>
    <row r="690" spans="1:7" ht="18.75">
      <c r="A690" s="123"/>
      <c r="B690" s="124"/>
      <c r="E690" s="146"/>
      <c r="F690" s="125"/>
      <c r="G690" s="125"/>
    </row>
    <row r="691" spans="1:7" ht="18.75">
      <c r="A691" s="127"/>
      <c r="B691" s="128"/>
      <c r="C691" s="128"/>
      <c r="D691" s="128"/>
      <c r="E691" s="507"/>
      <c r="F691" s="129"/>
      <c r="G691" s="129"/>
    </row>
    <row r="692" spans="5:7" ht="19.5" thickBot="1">
      <c r="E692" s="173"/>
      <c r="F692" s="130">
        <f>SUM(F674:F691)</f>
        <v>2090.75</v>
      </c>
      <c r="G692" s="130">
        <f>SUM(G674:G691)</f>
        <v>2090.75</v>
      </c>
    </row>
    <row r="693" spans="5:7" ht="19.5" thickTop="1">
      <c r="E693" s="173"/>
      <c r="F693" s="3"/>
      <c r="G693" s="3"/>
    </row>
    <row r="694" spans="1:7" ht="18.75">
      <c r="A694" s="4" t="s">
        <v>141</v>
      </c>
      <c r="B694" s="4" t="s">
        <v>521</v>
      </c>
      <c r="E694" s="173"/>
      <c r="F694" s="3"/>
      <c r="G694" s="131"/>
    </row>
    <row r="695" spans="2:7" ht="18.75">
      <c r="B695" s="4" t="s">
        <v>522</v>
      </c>
      <c r="E695" s="173"/>
      <c r="F695" s="3"/>
      <c r="G695" s="3"/>
    </row>
    <row r="696" spans="2:7" ht="18.75">
      <c r="B696" s="4"/>
      <c r="E696" s="173"/>
      <c r="F696" s="3"/>
      <c r="G696" s="3"/>
    </row>
    <row r="697" spans="1:7" ht="18.75">
      <c r="A697" s="693" t="s">
        <v>144</v>
      </c>
      <c r="B697" s="694"/>
      <c r="C697" s="695"/>
      <c r="D697" s="693" t="s">
        <v>143</v>
      </c>
      <c r="E697" s="695"/>
      <c r="F697" s="693" t="s">
        <v>142</v>
      </c>
      <c r="G697" s="695"/>
    </row>
    <row r="698" spans="1:7" ht="18.75">
      <c r="A698" s="123"/>
      <c r="B698" s="124"/>
      <c r="C698" s="126"/>
      <c r="D698" s="123"/>
      <c r="E698" s="513"/>
      <c r="F698" s="249"/>
      <c r="G698" s="126"/>
    </row>
    <row r="699" spans="1:7" ht="18.75">
      <c r="A699" s="696" t="s">
        <v>351</v>
      </c>
      <c r="B699" s="697"/>
      <c r="C699" s="698"/>
      <c r="D699" s="696" t="s">
        <v>33</v>
      </c>
      <c r="E699" s="698"/>
      <c r="F699" s="696" t="str">
        <f>+A699</f>
        <v>(นางสาววรรณา  ผลบุญ)</v>
      </c>
      <c r="G699" s="698"/>
    </row>
    <row r="700" spans="1:7" ht="18.75">
      <c r="A700" s="696" t="s">
        <v>352</v>
      </c>
      <c r="B700" s="697"/>
      <c r="C700" s="698"/>
      <c r="D700" s="696" t="s">
        <v>389</v>
      </c>
      <c r="E700" s="698"/>
      <c r="F700" s="696" t="str">
        <f>+A700</f>
        <v>เจ้าพนักงานการเงินและบัญชี</v>
      </c>
      <c r="G700" s="698"/>
    </row>
    <row r="701" spans="1:7" ht="18.75">
      <c r="A701" s="507"/>
      <c r="B701" s="520"/>
      <c r="C701" s="508"/>
      <c r="D701" s="687" t="s">
        <v>36</v>
      </c>
      <c r="E701" s="688"/>
      <c r="F701" s="250"/>
      <c r="G701" s="508"/>
    </row>
    <row r="702" spans="5:7" ht="18.75">
      <c r="E702" s="173"/>
      <c r="F702" s="3"/>
      <c r="G702" s="118" t="s">
        <v>524</v>
      </c>
    </row>
    <row r="703" spans="5:7" ht="18.75">
      <c r="E703" s="173"/>
      <c r="F703" s="3"/>
      <c r="G703" s="118" t="s">
        <v>479</v>
      </c>
    </row>
    <row r="704" spans="1:7" ht="18.75">
      <c r="A704" s="700" t="s">
        <v>153</v>
      </c>
      <c r="B704" s="700"/>
      <c r="C704" s="700"/>
      <c r="D704" s="700"/>
      <c r="E704" s="700"/>
      <c r="F704" s="700"/>
      <c r="G704" s="700"/>
    </row>
    <row r="705" spans="1:6" ht="18.75">
      <c r="A705" s="4" t="s">
        <v>138</v>
      </c>
      <c r="E705" s="173"/>
      <c r="F705" s="3"/>
    </row>
    <row r="706" spans="1:7" ht="18.75">
      <c r="A706" s="517" t="s">
        <v>0</v>
      </c>
      <c r="B706" s="518"/>
      <c r="C706" s="518"/>
      <c r="D706" s="518"/>
      <c r="E706" s="444" t="s">
        <v>139</v>
      </c>
      <c r="F706" s="248" t="s">
        <v>40</v>
      </c>
      <c r="G706" s="444" t="s">
        <v>1</v>
      </c>
    </row>
    <row r="707" spans="1:7" ht="18.75">
      <c r="A707" s="144" t="s">
        <v>60</v>
      </c>
      <c r="B707" s="510"/>
      <c r="C707" s="510"/>
      <c r="D707" s="510"/>
      <c r="E707" s="511">
        <v>110604</v>
      </c>
      <c r="F707" s="135">
        <v>127.31</v>
      </c>
      <c r="G707" s="135"/>
    </row>
    <row r="708" spans="1:7" ht="18.75">
      <c r="A708" s="136"/>
      <c r="B708" s="124" t="s">
        <v>57</v>
      </c>
      <c r="E708" s="511">
        <v>110602</v>
      </c>
      <c r="F708" s="125"/>
      <c r="G708" s="125">
        <f>+F707</f>
        <v>127.31</v>
      </c>
    </row>
    <row r="709" spans="1:7" ht="18.75">
      <c r="A709" s="138"/>
      <c r="B709" s="124"/>
      <c r="E709" s="146"/>
      <c r="F709" s="125"/>
      <c r="G709" s="125"/>
    </row>
    <row r="710" spans="1:7" ht="18.75">
      <c r="A710" s="138"/>
      <c r="B710" s="124"/>
      <c r="E710" s="146"/>
      <c r="F710" s="125"/>
      <c r="G710" s="125"/>
    </row>
    <row r="711" spans="1:7" ht="18.75">
      <c r="A711" s="138"/>
      <c r="B711" s="124"/>
      <c r="E711" s="146"/>
      <c r="F711" s="125"/>
      <c r="G711" s="125"/>
    </row>
    <row r="712" spans="1:7" ht="18.75">
      <c r="A712" s="123"/>
      <c r="B712" s="124"/>
      <c r="E712" s="146"/>
      <c r="F712" s="125"/>
      <c r="G712" s="125"/>
    </row>
    <row r="713" spans="1:7" ht="18.75">
      <c r="A713" s="123"/>
      <c r="B713" s="124"/>
      <c r="E713" s="146"/>
      <c r="F713" s="125"/>
      <c r="G713" s="125"/>
    </row>
    <row r="714" spans="1:7" ht="18.75">
      <c r="A714" s="123"/>
      <c r="B714" s="124"/>
      <c r="E714" s="146"/>
      <c r="F714" s="125"/>
      <c r="G714" s="125"/>
    </row>
    <row r="715" spans="1:7" ht="18.75">
      <c r="A715" s="123"/>
      <c r="B715" s="124"/>
      <c r="E715" s="146"/>
      <c r="F715" s="125"/>
      <c r="G715" s="125"/>
    </row>
    <row r="716" spans="1:7" ht="18.75">
      <c r="A716" s="123"/>
      <c r="B716" s="124"/>
      <c r="E716" s="146"/>
      <c r="F716" s="125"/>
      <c r="G716" s="125"/>
    </row>
    <row r="717" spans="1:7" ht="18.75">
      <c r="A717" s="123"/>
      <c r="B717" s="124"/>
      <c r="E717" s="146"/>
      <c r="F717" s="125"/>
      <c r="G717" s="125"/>
    </row>
    <row r="718" spans="1:7" ht="18.75">
      <c r="A718" s="123"/>
      <c r="B718" s="124"/>
      <c r="E718" s="146"/>
      <c r="F718" s="125"/>
      <c r="G718" s="125"/>
    </row>
    <row r="719" spans="1:7" ht="18.75">
      <c r="A719" s="123"/>
      <c r="B719" s="124"/>
      <c r="E719" s="146"/>
      <c r="F719" s="125"/>
      <c r="G719" s="125"/>
    </row>
    <row r="720" spans="1:7" ht="18.75">
      <c r="A720" s="123"/>
      <c r="B720" s="124"/>
      <c r="E720" s="146"/>
      <c r="F720" s="125"/>
      <c r="G720" s="125"/>
    </row>
    <row r="721" spans="1:7" ht="18.75">
      <c r="A721" s="123"/>
      <c r="B721" s="124"/>
      <c r="E721" s="146"/>
      <c r="F721" s="125"/>
      <c r="G721" s="125"/>
    </row>
    <row r="722" spans="1:7" ht="18.75">
      <c r="A722" s="123"/>
      <c r="B722" s="124"/>
      <c r="E722" s="146"/>
      <c r="F722" s="125"/>
      <c r="G722" s="125"/>
    </row>
    <row r="723" spans="1:7" ht="18.75">
      <c r="A723" s="123"/>
      <c r="B723" s="124"/>
      <c r="E723" s="146"/>
      <c r="F723" s="125"/>
      <c r="G723" s="125"/>
    </row>
    <row r="724" spans="1:7" ht="18.75">
      <c r="A724" s="127"/>
      <c r="B724" s="128"/>
      <c r="C724" s="128"/>
      <c r="D724" s="128"/>
      <c r="E724" s="507"/>
      <c r="F724" s="129"/>
      <c r="G724" s="129"/>
    </row>
    <row r="725" spans="5:7" ht="19.5" thickBot="1">
      <c r="E725" s="173"/>
      <c r="F725" s="130">
        <f>SUM(F707:F724)</f>
        <v>127.31</v>
      </c>
      <c r="G725" s="130">
        <f>SUM(G707:G724)</f>
        <v>127.31</v>
      </c>
    </row>
    <row r="726" spans="5:7" ht="19.5" thickTop="1">
      <c r="E726" s="173"/>
      <c r="F726" s="3"/>
      <c r="G726" s="3"/>
    </row>
    <row r="727" spans="1:7" ht="18.75">
      <c r="A727" s="4" t="s">
        <v>141</v>
      </c>
      <c r="B727" s="4" t="s">
        <v>525</v>
      </c>
      <c r="E727" s="173"/>
      <c r="F727" s="3"/>
      <c r="G727" s="131"/>
    </row>
    <row r="728" spans="2:7" ht="18.75">
      <c r="B728" s="4" t="s">
        <v>526</v>
      </c>
      <c r="E728" s="173"/>
      <c r="F728" s="3"/>
      <c r="G728" s="3"/>
    </row>
    <row r="729" spans="2:7" ht="18.75">
      <c r="B729" s="4" t="s">
        <v>527</v>
      </c>
      <c r="E729" s="173"/>
      <c r="F729" s="3"/>
      <c r="G729" s="3"/>
    </row>
    <row r="730" spans="1:7" ht="18.75">
      <c r="A730" s="693" t="s">
        <v>144</v>
      </c>
      <c r="B730" s="694"/>
      <c r="C730" s="695"/>
      <c r="D730" s="693" t="s">
        <v>143</v>
      </c>
      <c r="E730" s="695"/>
      <c r="F730" s="693" t="s">
        <v>142</v>
      </c>
      <c r="G730" s="695"/>
    </row>
    <row r="731" spans="1:7" ht="18.75">
      <c r="A731" s="123"/>
      <c r="B731" s="124"/>
      <c r="C731" s="126"/>
      <c r="D731" s="123"/>
      <c r="E731" s="513"/>
      <c r="F731" s="249"/>
      <c r="G731" s="126"/>
    </row>
    <row r="732" spans="1:7" ht="18.75">
      <c r="A732" s="696" t="s">
        <v>351</v>
      </c>
      <c r="B732" s="697"/>
      <c r="C732" s="698"/>
      <c r="D732" s="696" t="s">
        <v>33</v>
      </c>
      <c r="E732" s="698"/>
      <c r="F732" s="696" t="str">
        <f>+A732</f>
        <v>(นางสาววรรณา  ผลบุญ)</v>
      </c>
      <c r="G732" s="698"/>
    </row>
    <row r="733" spans="1:7" ht="18.75">
      <c r="A733" s="696" t="s">
        <v>352</v>
      </c>
      <c r="B733" s="697"/>
      <c r="C733" s="698"/>
      <c r="D733" s="696" t="s">
        <v>389</v>
      </c>
      <c r="E733" s="698"/>
      <c r="F733" s="696" t="str">
        <f>+A733</f>
        <v>เจ้าพนักงานการเงินและบัญชี</v>
      </c>
      <c r="G733" s="698"/>
    </row>
    <row r="734" spans="1:7" ht="18.75">
      <c r="A734" s="507"/>
      <c r="B734" s="520"/>
      <c r="C734" s="508"/>
      <c r="D734" s="687" t="s">
        <v>36</v>
      </c>
      <c r="E734" s="688"/>
      <c r="F734" s="250"/>
      <c r="G734" s="508"/>
    </row>
    <row r="735" spans="5:7" ht="18.75">
      <c r="E735" s="173"/>
      <c r="F735" s="3"/>
      <c r="G735" s="118" t="s">
        <v>561</v>
      </c>
    </row>
    <row r="736" spans="5:7" ht="18.75">
      <c r="E736" s="173"/>
      <c r="F736" s="3"/>
      <c r="G736" s="118" t="s">
        <v>479</v>
      </c>
    </row>
    <row r="737" spans="1:7" ht="18.75">
      <c r="A737" s="700" t="s">
        <v>153</v>
      </c>
      <c r="B737" s="700"/>
      <c r="C737" s="700"/>
      <c r="D737" s="700"/>
      <c r="E737" s="700"/>
      <c r="F737" s="700"/>
      <c r="G737" s="700"/>
    </row>
    <row r="738" spans="1:6" ht="18.75">
      <c r="A738" s="4" t="s">
        <v>138</v>
      </c>
      <c r="E738" s="173"/>
      <c r="F738" s="3"/>
    </row>
    <row r="739" spans="1:7" ht="18.75">
      <c r="A739" s="517" t="s">
        <v>0</v>
      </c>
      <c r="B739" s="518"/>
      <c r="C739" s="518"/>
      <c r="D739" s="518"/>
      <c r="E739" s="444" t="s">
        <v>139</v>
      </c>
      <c r="F739" s="248" t="s">
        <v>40</v>
      </c>
      <c r="G739" s="444" t="s">
        <v>1</v>
      </c>
    </row>
    <row r="740" spans="1:7" ht="18.75">
      <c r="A740" s="144" t="s">
        <v>41</v>
      </c>
      <c r="B740" s="510"/>
      <c r="C740" s="510"/>
      <c r="D740" s="510"/>
      <c r="E740" s="511">
        <v>400000</v>
      </c>
      <c r="F740" s="135">
        <v>18318.06</v>
      </c>
      <c r="G740" s="135"/>
    </row>
    <row r="741" spans="1:7" ht="18.75">
      <c r="A741" s="136" t="s">
        <v>42</v>
      </c>
      <c r="B741" s="519"/>
      <c r="C741" s="519"/>
      <c r="D741" s="519"/>
      <c r="E741" s="511">
        <v>411001</v>
      </c>
      <c r="F741" s="137">
        <v>166818.36</v>
      </c>
      <c r="G741" s="137"/>
    </row>
    <row r="742" spans="1:7" ht="18.75">
      <c r="A742" s="136" t="s">
        <v>43</v>
      </c>
      <c r="B742" s="519"/>
      <c r="C742" s="519"/>
      <c r="D742" s="519"/>
      <c r="E742" s="511">
        <v>411003</v>
      </c>
      <c r="F742" s="137">
        <v>8902.84</v>
      </c>
      <c r="G742" s="137"/>
    </row>
    <row r="743" spans="1:7" ht="18.75">
      <c r="A743" s="136" t="s">
        <v>372</v>
      </c>
      <c r="B743" s="519"/>
      <c r="C743" s="519"/>
      <c r="D743" s="519"/>
      <c r="E743" s="511">
        <v>412103</v>
      </c>
      <c r="F743" s="137">
        <v>19.4</v>
      </c>
      <c r="G743" s="137"/>
    </row>
    <row r="744" spans="1:7" ht="18.75">
      <c r="A744" s="702" t="s">
        <v>373</v>
      </c>
      <c r="B744" s="703"/>
      <c r="C744" s="703"/>
      <c r="D744" s="704"/>
      <c r="E744" s="511">
        <v>412109</v>
      </c>
      <c r="F744" s="137">
        <v>400</v>
      </c>
      <c r="G744" s="137"/>
    </row>
    <row r="745" spans="1:7" ht="18.75">
      <c r="A745" s="136" t="s">
        <v>99</v>
      </c>
      <c r="B745" s="519"/>
      <c r="C745" s="519"/>
      <c r="D745" s="519"/>
      <c r="E745" s="511">
        <v>412112</v>
      </c>
      <c r="F745" s="137">
        <v>3770</v>
      </c>
      <c r="G745" s="137"/>
    </row>
    <row r="746" spans="1:7" ht="18.75">
      <c r="A746" s="705" t="s">
        <v>374</v>
      </c>
      <c r="B746" s="706"/>
      <c r="C746" s="706"/>
      <c r="D746" s="707"/>
      <c r="E746" s="511">
        <v>412199</v>
      </c>
      <c r="F746" s="137">
        <v>880</v>
      </c>
      <c r="G746" s="137"/>
    </row>
    <row r="747" spans="1:7" ht="18.75">
      <c r="A747" s="705" t="s">
        <v>375</v>
      </c>
      <c r="B747" s="706"/>
      <c r="C747" s="706"/>
      <c r="D747" s="707"/>
      <c r="E747" s="511">
        <v>412202</v>
      </c>
      <c r="F747" s="137">
        <v>400</v>
      </c>
      <c r="G747" s="137"/>
    </row>
    <row r="748" spans="1:7" ht="18.75">
      <c r="A748" s="705" t="s">
        <v>25</v>
      </c>
      <c r="B748" s="706"/>
      <c r="C748" s="706"/>
      <c r="D748" s="707"/>
      <c r="E748" s="511">
        <v>412210</v>
      </c>
      <c r="F748" s="137">
        <v>12665</v>
      </c>
      <c r="G748" s="137"/>
    </row>
    <row r="749" spans="1:7" ht="18.75">
      <c r="A749" s="705" t="s">
        <v>376</v>
      </c>
      <c r="B749" s="706"/>
      <c r="C749" s="706"/>
      <c r="D749" s="707"/>
      <c r="E749" s="511">
        <v>412303</v>
      </c>
      <c r="F749" s="137">
        <v>15400</v>
      </c>
      <c r="G749" s="137"/>
    </row>
    <row r="750" spans="1:7" ht="18.75">
      <c r="A750" s="514" t="s">
        <v>100</v>
      </c>
      <c r="B750" s="515"/>
      <c r="C750" s="515"/>
      <c r="D750" s="516"/>
      <c r="E750" s="511">
        <v>412304</v>
      </c>
      <c r="F750" s="137">
        <v>150</v>
      </c>
      <c r="G750" s="137"/>
    </row>
    <row r="751" spans="1:7" ht="18.75">
      <c r="A751" s="705" t="s">
        <v>378</v>
      </c>
      <c r="B751" s="706"/>
      <c r="C751" s="706"/>
      <c r="D751" s="707"/>
      <c r="E751" s="511">
        <v>412306</v>
      </c>
      <c r="F751" s="137">
        <v>3200</v>
      </c>
      <c r="G751" s="137"/>
    </row>
    <row r="752" spans="1:7" ht="18.75" hidden="1">
      <c r="A752" s="705" t="s">
        <v>377</v>
      </c>
      <c r="B752" s="706"/>
      <c r="C752" s="706"/>
      <c r="D752" s="707"/>
      <c r="E752" s="511">
        <v>412308</v>
      </c>
      <c r="F752" s="137">
        <v>0</v>
      </c>
      <c r="G752" s="137"/>
    </row>
    <row r="753" spans="1:7" ht="18.75" hidden="1">
      <c r="A753" s="705" t="s">
        <v>379</v>
      </c>
      <c r="B753" s="706"/>
      <c r="C753" s="706"/>
      <c r="D753" s="707"/>
      <c r="E753" s="511">
        <v>413002</v>
      </c>
      <c r="F753" s="137">
        <v>0</v>
      </c>
      <c r="G753" s="137"/>
    </row>
    <row r="754" spans="1:7" ht="18.75">
      <c r="A754" s="705" t="s">
        <v>63</v>
      </c>
      <c r="B754" s="706"/>
      <c r="C754" s="706"/>
      <c r="D754" s="707"/>
      <c r="E754" s="511">
        <v>413003</v>
      </c>
      <c r="F754" s="137">
        <v>406763.39</v>
      </c>
      <c r="G754" s="137"/>
    </row>
    <row r="755" spans="1:7" ht="18.75">
      <c r="A755" s="705" t="s">
        <v>103</v>
      </c>
      <c r="B755" s="706"/>
      <c r="C755" s="706"/>
      <c r="D755" s="707"/>
      <c r="E755" s="511">
        <v>413303</v>
      </c>
      <c r="F755" s="137">
        <v>12200.26</v>
      </c>
      <c r="G755" s="137"/>
    </row>
    <row r="756" spans="1:7" ht="18.75">
      <c r="A756" s="705" t="s">
        <v>380</v>
      </c>
      <c r="B756" s="706"/>
      <c r="C756" s="706"/>
      <c r="D756" s="707"/>
      <c r="E756" s="511">
        <v>414006</v>
      </c>
      <c r="F756" s="137">
        <v>289432.5</v>
      </c>
      <c r="G756" s="137"/>
    </row>
    <row r="757" spans="1:7" ht="18.75">
      <c r="A757" s="705" t="s">
        <v>65</v>
      </c>
      <c r="B757" s="706"/>
      <c r="C757" s="706"/>
      <c r="D757" s="707"/>
      <c r="E757" s="511">
        <v>415004</v>
      </c>
      <c r="F757" s="137">
        <v>38500</v>
      </c>
      <c r="G757" s="137"/>
    </row>
    <row r="758" spans="1:7" ht="18.75">
      <c r="A758" s="705" t="s">
        <v>381</v>
      </c>
      <c r="B758" s="706"/>
      <c r="C758" s="706"/>
      <c r="D758" s="707"/>
      <c r="E758" s="511">
        <v>415999</v>
      </c>
      <c r="F758" s="137">
        <v>94189</v>
      </c>
      <c r="G758" s="137"/>
    </row>
    <row r="759" spans="1:7" ht="18.75">
      <c r="A759" s="514" t="s">
        <v>540</v>
      </c>
      <c r="B759" s="515"/>
      <c r="C759" s="515"/>
      <c r="D759" s="516"/>
      <c r="E759" s="511">
        <v>421002</v>
      </c>
      <c r="F759" s="137">
        <v>7471963.6</v>
      </c>
      <c r="G759" s="137"/>
    </row>
    <row r="760" spans="1:7" ht="18.75">
      <c r="A760" s="514" t="s">
        <v>67</v>
      </c>
      <c r="B760" s="515"/>
      <c r="C760" s="515"/>
      <c r="D760" s="516"/>
      <c r="E760" s="511">
        <v>421004</v>
      </c>
      <c r="F760" s="137">
        <v>3142359.57</v>
      </c>
      <c r="G760" s="137"/>
    </row>
    <row r="761" spans="1:7" ht="18.75">
      <c r="A761" s="514" t="s">
        <v>46</v>
      </c>
      <c r="B761" s="515"/>
      <c r="C761" s="515"/>
      <c r="D761" s="516"/>
      <c r="E761" s="511">
        <v>421005</v>
      </c>
      <c r="F761" s="137">
        <v>131980.31</v>
      </c>
      <c r="G761" s="137"/>
    </row>
    <row r="762" spans="1:7" ht="18.75">
      <c r="A762" s="514" t="s">
        <v>44</v>
      </c>
      <c r="B762" s="515"/>
      <c r="C762" s="515"/>
      <c r="D762" s="516"/>
      <c r="E762" s="511">
        <v>421006</v>
      </c>
      <c r="F762" s="137">
        <v>1375244.25</v>
      </c>
      <c r="G762" s="137"/>
    </row>
    <row r="763" spans="1:7" ht="18.75">
      <c r="A763" s="705" t="s">
        <v>45</v>
      </c>
      <c r="B763" s="706"/>
      <c r="C763" s="706"/>
      <c r="D763" s="707"/>
      <c r="E763" s="511">
        <v>421007</v>
      </c>
      <c r="F763" s="137">
        <v>3006755.45</v>
      </c>
      <c r="G763" s="137"/>
    </row>
    <row r="764" spans="1:7" ht="18.75">
      <c r="A764" s="705" t="s">
        <v>47</v>
      </c>
      <c r="B764" s="706"/>
      <c r="C764" s="706"/>
      <c r="D764" s="707"/>
      <c r="E764" s="511">
        <v>421012</v>
      </c>
      <c r="F764" s="137">
        <v>28798.41</v>
      </c>
      <c r="G764" s="137"/>
    </row>
    <row r="765" spans="1:7" ht="18.75">
      <c r="A765" s="514" t="s">
        <v>48</v>
      </c>
      <c r="B765" s="515"/>
      <c r="C765" s="515"/>
      <c r="D765" s="515"/>
      <c r="E765" s="511">
        <v>421013</v>
      </c>
      <c r="F765" s="137">
        <v>191543.8</v>
      </c>
      <c r="G765" s="137"/>
    </row>
    <row r="766" spans="1:7" ht="18.75">
      <c r="A766" s="514" t="s">
        <v>382</v>
      </c>
      <c r="B766" s="515"/>
      <c r="C766" s="515"/>
      <c r="D766" s="515"/>
      <c r="E766" s="511">
        <v>421015</v>
      </c>
      <c r="F766" s="137">
        <v>618295</v>
      </c>
      <c r="G766" s="137"/>
    </row>
    <row r="767" spans="1:7" ht="18.75">
      <c r="A767" s="514" t="s">
        <v>22</v>
      </c>
      <c r="B767" s="515"/>
      <c r="C767" s="515"/>
      <c r="D767" s="515"/>
      <c r="E767" s="511">
        <v>431000</v>
      </c>
      <c r="F767" s="137">
        <v>15565538.09</v>
      </c>
      <c r="G767" s="137"/>
    </row>
    <row r="768" spans="1:8" ht="18.75">
      <c r="A768" s="514" t="s">
        <v>124</v>
      </c>
      <c r="B768" s="515"/>
      <c r="C768" s="515"/>
      <c r="D768" s="515"/>
      <c r="E768" s="511">
        <v>441000</v>
      </c>
      <c r="F768" s="137">
        <f>11712263.02+21800</f>
        <v>11734063.02</v>
      </c>
      <c r="G768" s="137"/>
      <c r="H768" s="113">
        <f>SUM(F740:F769)</f>
        <v>44338550.31</v>
      </c>
    </row>
    <row r="769" spans="1:8" ht="18.75" hidden="1">
      <c r="A769" s="136" t="s">
        <v>313</v>
      </c>
      <c r="B769" s="519"/>
      <c r="C769" s="519"/>
      <c r="D769" s="519"/>
      <c r="E769" s="511"/>
      <c r="F769" s="137">
        <v>0</v>
      </c>
      <c r="G769" s="137"/>
      <c r="H769" s="113">
        <f>+H768-44338550.31</f>
        <v>0</v>
      </c>
    </row>
    <row r="770" spans="1:7" ht="18.75">
      <c r="A770" s="708" t="s">
        <v>166</v>
      </c>
      <c r="B770" s="709"/>
      <c r="C770" s="709"/>
      <c r="D770" s="710"/>
      <c r="E770" s="507"/>
      <c r="F770" s="174">
        <f>SUM(F740:F769)</f>
        <v>44338550.31</v>
      </c>
      <c r="G770" s="174">
        <f>SUM(G740:G769)</f>
        <v>0</v>
      </c>
    </row>
    <row r="771" spans="1:7" ht="18.75">
      <c r="A771" s="175" t="s">
        <v>159</v>
      </c>
      <c r="B771" s="317"/>
      <c r="C771" s="317"/>
      <c r="D771" s="317"/>
      <c r="E771" s="175"/>
      <c r="F771" s="135">
        <f>+F770</f>
        <v>44338550.31</v>
      </c>
      <c r="G771" s="135">
        <f>+G770</f>
        <v>0</v>
      </c>
    </row>
    <row r="772" spans="1:7" ht="18.75">
      <c r="A772" s="136"/>
      <c r="B772" s="515" t="s">
        <v>15</v>
      </c>
      <c r="C772" s="519"/>
      <c r="D772" s="519"/>
      <c r="E772" s="511">
        <v>300000</v>
      </c>
      <c r="F772" s="137"/>
      <c r="G772" s="137">
        <f>+H768-H792</f>
        <v>7073822.090000004</v>
      </c>
    </row>
    <row r="773" spans="1:7" ht="18.75">
      <c r="A773" s="136"/>
      <c r="B773" s="124" t="s">
        <v>11</v>
      </c>
      <c r="E773" s="511">
        <v>500000</v>
      </c>
      <c r="F773" s="125"/>
      <c r="G773" s="125">
        <v>1052868</v>
      </c>
    </row>
    <row r="774" spans="1:7" ht="18.75">
      <c r="A774" s="136"/>
      <c r="B774" s="124" t="s">
        <v>450</v>
      </c>
      <c r="E774" s="511">
        <v>500000</v>
      </c>
      <c r="F774" s="125"/>
      <c r="G774" s="125">
        <v>10210200</v>
      </c>
    </row>
    <row r="775" spans="1:7" ht="18.75">
      <c r="A775" s="138"/>
      <c r="B775" s="124" t="s">
        <v>162</v>
      </c>
      <c r="E775" s="146">
        <v>521000</v>
      </c>
      <c r="F775" s="125"/>
      <c r="G775" s="125">
        <v>2250548</v>
      </c>
    </row>
    <row r="776" spans="1:7" ht="18.75">
      <c r="A776" s="138"/>
      <c r="B776" s="124" t="s">
        <v>163</v>
      </c>
      <c r="E776" s="146">
        <v>522000</v>
      </c>
      <c r="F776" s="125"/>
      <c r="G776" s="125">
        <v>2713528.31</v>
      </c>
    </row>
    <row r="777" spans="1:7" ht="18.75">
      <c r="A777" s="138"/>
      <c r="B777" s="124" t="s">
        <v>542</v>
      </c>
      <c r="E777" s="146">
        <v>522000</v>
      </c>
      <c r="F777" s="125"/>
      <c r="G777" s="125">
        <v>600000</v>
      </c>
    </row>
    <row r="778" spans="1:7" ht="18.75">
      <c r="A778" s="138"/>
      <c r="B778" s="124" t="s">
        <v>3</v>
      </c>
      <c r="E778" s="146">
        <v>220400</v>
      </c>
      <c r="F778" s="125"/>
      <c r="G778" s="125">
        <v>313695</v>
      </c>
    </row>
    <row r="779" spans="1:7" ht="18.75">
      <c r="A779" s="123"/>
      <c r="B779" s="124" t="s">
        <v>4</v>
      </c>
      <c r="D779" s="173"/>
      <c r="E779" s="146">
        <v>220600</v>
      </c>
      <c r="F779" s="125"/>
      <c r="G779" s="125">
        <v>1851857.14</v>
      </c>
    </row>
    <row r="780" spans="1:7" ht="18.75">
      <c r="A780" s="123"/>
      <c r="B780" s="124" t="s">
        <v>449</v>
      </c>
      <c r="D780" s="173"/>
      <c r="E780" s="146">
        <v>220600</v>
      </c>
      <c r="F780" s="125"/>
      <c r="G780" s="125">
        <v>450000</v>
      </c>
    </row>
    <row r="781" spans="1:7" ht="18.75">
      <c r="A781" s="123"/>
      <c r="B781" s="124" t="s">
        <v>5</v>
      </c>
      <c r="E781" s="146">
        <v>531000</v>
      </c>
      <c r="F781" s="125"/>
      <c r="G781" s="125">
        <v>648183.5</v>
      </c>
    </row>
    <row r="782" spans="1:7" ht="18.75">
      <c r="A782" s="123"/>
      <c r="B782" s="124" t="s">
        <v>463</v>
      </c>
      <c r="E782" s="146">
        <v>531000</v>
      </c>
      <c r="F782" s="125"/>
      <c r="G782" s="125">
        <v>9298</v>
      </c>
    </row>
    <row r="783" spans="1:7" ht="18.75">
      <c r="A783" s="123"/>
      <c r="B783" s="124" t="s">
        <v>6</v>
      </c>
      <c r="E783" s="146">
        <v>532000</v>
      </c>
      <c r="F783" s="125"/>
      <c r="G783" s="125">
        <v>4013487.1</v>
      </c>
    </row>
    <row r="784" spans="1:7" ht="18.75">
      <c r="A784" s="123"/>
      <c r="B784" s="124" t="s">
        <v>464</v>
      </c>
      <c r="E784" s="146">
        <v>532000</v>
      </c>
      <c r="F784" s="125"/>
      <c r="G784" s="125">
        <f>21800+45500</f>
        <v>67300</v>
      </c>
    </row>
    <row r="785" spans="1:7" ht="18.75">
      <c r="A785" s="123"/>
      <c r="B785" s="124" t="s">
        <v>7</v>
      </c>
      <c r="E785" s="146">
        <v>533000</v>
      </c>
      <c r="F785" s="125"/>
      <c r="G785" s="125">
        <v>3315073.5</v>
      </c>
    </row>
    <row r="786" spans="1:7" ht="18.75">
      <c r="A786" s="123"/>
      <c r="B786" s="124" t="s">
        <v>465</v>
      </c>
      <c r="E786" s="146">
        <v>533000</v>
      </c>
      <c r="F786" s="125"/>
      <c r="G786" s="125">
        <v>338047</v>
      </c>
    </row>
    <row r="787" spans="1:7" ht="18.75">
      <c r="A787" s="123"/>
      <c r="B787" s="124" t="s">
        <v>8</v>
      </c>
      <c r="E787" s="146">
        <v>534000</v>
      </c>
      <c r="F787" s="125"/>
      <c r="G787" s="125">
        <v>869916.65</v>
      </c>
    </row>
    <row r="788" spans="1:7" ht="18.75">
      <c r="A788" s="123"/>
      <c r="B788" s="124" t="s">
        <v>9</v>
      </c>
      <c r="E788" s="146">
        <v>541000</v>
      </c>
      <c r="F788" s="125"/>
      <c r="G788" s="125">
        <v>400472</v>
      </c>
    </row>
    <row r="789" spans="1:7" ht="18.75">
      <c r="A789" s="123"/>
      <c r="B789" s="124" t="s">
        <v>541</v>
      </c>
      <c r="E789" s="146">
        <v>541000</v>
      </c>
      <c r="F789" s="125"/>
      <c r="G789" s="125">
        <v>51514.02</v>
      </c>
    </row>
    <row r="790" spans="1:7" ht="18.75">
      <c r="A790" s="123"/>
      <c r="B790" s="124" t="s">
        <v>10</v>
      </c>
      <c r="E790" s="146">
        <v>542000</v>
      </c>
      <c r="F790" s="125"/>
      <c r="G790" s="125">
        <f>+งบดุลบัญชี!BY128</f>
        <v>5497140</v>
      </c>
    </row>
    <row r="791" spans="1:7" ht="18.75">
      <c r="A791" s="123"/>
      <c r="B791" s="124" t="s">
        <v>13</v>
      </c>
      <c r="E791" s="146">
        <v>561000</v>
      </c>
      <c r="F791" s="125"/>
      <c r="G791" s="125">
        <v>2586600</v>
      </c>
    </row>
    <row r="792" spans="1:8" ht="18.75">
      <c r="A792" s="123"/>
      <c r="B792" s="124" t="s">
        <v>12</v>
      </c>
      <c r="E792" s="146">
        <v>551000</v>
      </c>
      <c r="F792" s="125"/>
      <c r="G792" s="125">
        <v>25000</v>
      </c>
      <c r="H792" s="113">
        <f>SUM(G773:G792)</f>
        <v>37264728.22</v>
      </c>
    </row>
    <row r="793" spans="1:7" ht="18.75">
      <c r="A793" s="127"/>
      <c r="B793" s="128"/>
      <c r="C793" s="128"/>
      <c r="D793" s="128"/>
      <c r="E793" s="507"/>
      <c r="F793" s="129"/>
      <c r="G793" s="129"/>
    </row>
    <row r="794" spans="5:7" ht="19.5" thickBot="1">
      <c r="E794" s="173"/>
      <c r="F794" s="130">
        <f>SUM(F771:F793)</f>
        <v>44338550.31</v>
      </c>
      <c r="G794" s="130">
        <f>SUM(G772:G793)</f>
        <v>44338550.31</v>
      </c>
    </row>
    <row r="795" spans="5:7" ht="19.5" thickTop="1">
      <c r="E795" s="173"/>
      <c r="F795" s="3"/>
      <c r="G795" s="3"/>
    </row>
    <row r="796" spans="1:7" ht="18.75">
      <c r="A796" s="4" t="s">
        <v>141</v>
      </c>
      <c r="B796" s="4" t="s">
        <v>560</v>
      </c>
      <c r="E796" s="173"/>
      <c r="F796" s="3"/>
      <c r="G796" s="131"/>
    </row>
    <row r="797" spans="2:7" ht="18.75">
      <c r="B797" s="4"/>
      <c r="E797" s="173"/>
      <c r="F797" s="3"/>
      <c r="G797" s="3"/>
    </row>
    <row r="798" spans="2:7" ht="18.75">
      <c r="B798" s="4"/>
      <c r="E798" s="173"/>
      <c r="F798" s="3"/>
      <c r="G798" s="3"/>
    </row>
    <row r="799" spans="1:7" ht="18.75">
      <c r="A799" s="693" t="s">
        <v>144</v>
      </c>
      <c r="B799" s="694"/>
      <c r="C799" s="695"/>
      <c r="D799" s="693" t="s">
        <v>143</v>
      </c>
      <c r="E799" s="695"/>
      <c r="F799" s="693" t="s">
        <v>142</v>
      </c>
      <c r="G799" s="695"/>
    </row>
    <row r="800" spans="1:7" ht="18.75">
      <c r="A800" s="123"/>
      <c r="B800" s="124"/>
      <c r="C800" s="126"/>
      <c r="D800" s="123"/>
      <c r="E800" s="513"/>
      <c r="F800" s="249"/>
      <c r="G800" s="126"/>
    </row>
    <row r="801" spans="1:7" ht="18.75">
      <c r="A801" s="696" t="s">
        <v>351</v>
      </c>
      <c r="B801" s="697"/>
      <c r="C801" s="698"/>
      <c r="D801" s="696" t="s">
        <v>33</v>
      </c>
      <c r="E801" s="698"/>
      <c r="F801" s="696" t="str">
        <f>+A801</f>
        <v>(นางสาววรรณา  ผลบุญ)</v>
      </c>
      <c r="G801" s="698"/>
    </row>
    <row r="802" spans="1:7" ht="18.75">
      <c r="A802" s="696" t="s">
        <v>352</v>
      </c>
      <c r="B802" s="697"/>
      <c r="C802" s="698"/>
      <c r="D802" s="696" t="s">
        <v>389</v>
      </c>
      <c r="E802" s="698"/>
      <c r="F802" s="696" t="str">
        <f>+A802</f>
        <v>เจ้าพนักงานการเงินและบัญชี</v>
      </c>
      <c r="G802" s="698"/>
    </row>
    <row r="803" spans="1:7" ht="18.75">
      <c r="A803" s="507"/>
      <c r="B803" s="520"/>
      <c r="C803" s="508"/>
      <c r="D803" s="687" t="s">
        <v>36</v>
      </c>
      <c r="E803" s="688"/>
      <c r="F803" s="250"/>
      <c r="G803" s="508"/>
    </row>
    <row r="804" spans="5:7" ht="18.75">
      <c r="E804" s="173"/>
      <c r="F804" s="3"/>
      <c r="G804" s="118" t="s">
        <v>539</v>
      </c>
    </row>
    <row r="805" spans="5:7" ht="18.75">
      <c r="E805" s="173"/>
      <c r="F805" s="3"/>
      <c r="G805" s="118" t="s">
        <v>479</v>
      </c>
    </row>
    <row r="806" spans="1:7" ht="18.75">
      <c r="A806" s="700" t="s">
        <v>153</v>
      </c>
      <c r="B806" s="700"/>
      <c r="C806" s="700"/>
      <c r="D806" s="700"/>
      <c r="E806" s="700"/>
      <c r="F806" s="700"/>
      <c r="G806" s="700"/>
    </row>
    <row r="807" spans="1:6" ht="18.75">
      <c r="A807" s="4" t="s">
        <v>138</v>
      </c>
      <c r="E807" s="173"/>
      <c r="F807" s="3"/>
    </row>
    <row r="808" spans="1:7" ht="18.75">
      <c r="A808" s="517" t="s">
        <v>0</v>
      </c>
      <c r="B808" s="518"/>
      <c r="C808" s="518"/>
      <c r="D808" s="518"/>
      <c r="E808" s="444" t="s">
        <v>139</v>
      </c>
      <c r="F808" s="248" t="s">
        <v>40</v>
      </c>
      <c r="G808" s="444" t="s">
        <v>1</v>
      </c>
    </row>
    <row r="809" spans="1:7" ht="18.75">
      <c r="A809" s="144" t="s">
        <v>541</v>
      </c>
      <c r="B809" s="510"/>
      <c r="C809" s="510"/>
      <c r="D809" s="510"/>
      <c r="E809" s="511">
        <v>541000</v>
      </c>
      <c r="F809" s="135">
        <v>51514.02</v>
      </c>
      <c r="G809" s="135"/>
    </row>
    <row r="810" spans="1:7" ht="18.75">
      <c r="A810" s="136"/>
      <c r="B810" s="124" t="s">
        <v>465</v>
      </c>
      <c r="E810" s="511">
        <v>533000</v>
      </c>
      <c r="F810" s="125"/>
      <c r="G810" s="125">
        <f>+F809</f>
        <v>51514.02</v>
      </c>
    </row>
    <row r="811" spans="1:7" ht="18.75">
      <c r="A811" s="138"/>
      <c r="B811" s="124"/>
      <c r="E811" s="146"/>
      <c r="F811" s="125"/>
      <c r="G811" s="125"/>
    </row>
    <row r="812" spans="1:7" ht="18.75">
      <c r="A812" s="138"/>
      <c r="B812" s="124"/>
      <c r="E812" s="146"/>
      <c r="F812" s="125"/>
      <c r="G812" s="125"/>
    </row>
    <row r="813" spans="1:7" ht="18.75">
      <c r="A813" s="138"/>
      <c r="B813" s="124"/>
      <c r="E813" s="146"/>
      <c r="F813" s="125"/>
      <c r="G813" s="125"/>
    </row>
    <row r="814" spans="1:7" ht="18.75">
      <c r="A814" s="123"/>
      <c r="B814" s="124"/>
      <c r="E814" s="146"/>
      <c r="F814" s="125"/>
      <c r="G814" s="125"/>
    </row>
    <row r="815" spans="1:7" ht="18.75">
      <c r="A815" s="123"/>
      <c r="B815" s="124"/>
      <c r="E815" s="146"/>
      <c r="F815" s="125"/>
      <c r="G815" s="125"/>
    </row>
    <row r="816" spans="1:7" ht="18.75">
      <c r="A816" s="123"/>
      <c r="B816" s="124"/>
      <c r="E816" s="146"/>
      <c r="F816" s="125"/>
      <c r="G816" s="125"/>
    </row>
    <row r="817" spans="1:7" ht="18.75">
      <c r="A817" s="123"/>
      <c r="B817" s="124"/>
      <c r="E817" s="146"/>
      <c r="F817" s="125"/>
      <c r="G817" s="125"/>
    </row>
    <row r="818" spans="1:7" ht="18.75">
      <c r="A818" s="123"/>
      <c r="B818" s="124"/>
      <c r="E818" s="146"/>
      <c r="F818" s="125"/>
      <c r="G818" s="125"/>
    </row>
    <row r="819" spans="1:7" ht="18.75">
      <c r="A819" s="123"/>
      <c r="B819" s="124"/>
      <c r="E819" s="146"/>
      <c r="F819" s="125"/>
      <c r="G819" s="125"/>
    </row>
    <row r="820" spans="1:7" ht="18.75">
      <c r="A820" s="123"/>
      <c r="B820" s="124"/>
      <c r="E820" s="146"/>
      <c r="F820" s="125"/>
      <c r="G820" s="125"/>
    </row>
    <row r="821" spans="1:7" ht="18.75">
      <c r="A821" s="123"/>
      <c r="B821" s="124"/>
      <c r="E821" s="146"/>
      <c r="F821" s="125"/>
      <c r="G821" s="125"/>
    </row>
    <row r="822" spans="1:7" ht="18.75">
      <c r="A822" s="123"/>
      <c r="B822" s="124"/>
      <c r="E822" s="146"/>
      <c r="F822" s="125"/>
      <c r="G822" s="125"/>
    </row>
    <row r="823" spans="1:7" ht="18.75">
      <c r="A823" s="123"/>
      <c r="B823" s="124"/>
      <c r="E823" s="146"/>
      <c r="F823" s="125"/>
      <c r="G823" s="125"/>
    </row>
    <row r="824" spans="1:7" ht="18.75">
      <c r="A824" s="123"/>
      <c r="B824" s="124"/>
      <c r="E824" s="146"/>
      <c r="F824" s="125"/>
      <c r="G824" s="125"/>
    </row>
    <row r="825" spans="1:7" ht="18.75">
      <c r="A825" s="123"/>
      <c r="B825" s="124"/>
      <c r="E825" s="146"/>
      <c r="F825" s="125"/>
      <c r="G825" s="125"/>
    </row>
    <row r="826" spans="1:7" ht="18.75">
      <c r="A826" s="127"/>
      <c r="B826" s="128"/>
      <c r="C826" s="128"/>
      <c r="D826" s="128"/>
      <c r="E826" s="507"/>
      <c r="F826" s="129"/>
      <c r="G826" s="129"/>
    </row>
    <row r="827" spans="5:7" ht="19.5" thickBot="1">
      <c r="E827" s="173"/>
      <c r="F827" s="130">
        <f>SUM(F809:F826)</f>
        <v>51514.02</v>
      </c>
      <c r="G827" s="130">
        <f>SUM(G809:G826)</f>
        <v>51514.02</v>
      </c>
    </row>
    <row r="828" spans="5:7" ht="19.5" thickTop="1">
      <c r="E828" s="173"/>
      <c r="F828" s="3"/>
      <c r="G828" s="3"/>
    </row>
    <row r="829" spans="1:7" ht="18.75">
      <c r="A829" s="4" t="s">
        <v>141</v>
      </c>
      <c r="B829" s="4" t="s">
        <v>544</v>
      </c>
      <c r="E829" s="173"/>
      <c r="F829" s="3"/>
      <c r="G829" s="131"/>
    </row>
    <row r="830" spans="2:7" ht="18.75">
      <c r="B830" s="4" t="s">
        <v>545</v>
      </c>
      <c r="E830" s="173"/>
      <c r="F830" s="3"/>
      <c r="G830" s="3"/>
    </row>
    <row r="831" spans="2:7" ht="18.75">
      <c r="B831" s="4"/>
      <c r="E831" s="173"/>
      <c r="F831" s="3"/>
      <c r="G831" s="3"/>
    </row>
    <row r="832" spans="1:7" ht="18.75">
      <c r="A832" s="693" t="s">
        <v>144</v>
      </c>
      <c r="B832" s="694"/>
      <c r="C832" s="695"/>
      <c r="D832" s="693" t="s">
        <v>143</v>
      </c>
      <c r="E832" s="695"/>
      <c r="F832" s="693" t="s">
        <v>142</v>
      </c>
      <c r="G832" s="695"/>
    </row>
    <row r="833" spans="1:7" ht="18.75">
      <c r="A833" s="123"/>
      <c r="B833" s="124"/>
      <c r="C833" s="126"/>
      <c r="D833" s="123"/>
      <c r="E833" s="513"/>
      <c r="F833" s="249"/>
      <c r="G833" s="126"/>
    </row>
    <row r="834" spans="1:7" ht="18.75">
      <c r="A834" s="696" t="s">
        <v>351</v>
      </c>
      <c r="B834" s="697"/>
      <c r="C834" s="698"/>
      <c r="D834" s="696" t="s">
        <v>33</v>
      </c>
      <c r="E834" s="698"/>
      <c r="F834" s="696" t="str">
        <f>+A834</f>
        <v>(นางสาววรรณา  ผลบุญ)</v>
      </c>
      <c r="G834" s="698"/>
    </row>
    <row r="835" spans="1:7" ht="18.75">
      <c r="A835" s="696" t="s">
        <v>352</v>
      </c>
      <c r="B835" s="697"/>
      <c r="C835" s="698"/>
      <c r="D835" s="696" t="s">
        <v>389</v>
      </c>
      <c r="E835" s="698"/>
      <c r="F835" s="696" t="str">
        <f>+A835</f>
        <v>เจ้าพนักงานการเงินและบัญชี</v>
      </c>
      <c r="G835" s="698"/>
    </row>
    <row r="836" spans="1:7" ht="18.75">
      <c r="A836" s="507"/>
      <c r="B836" s="520"/>
      <c r="C836" s="508"/>
      <c r="D836" s="687" t="s">
        <v>36</v>
      </c>
      <c r="E836" s="688"/>
      <c r="F836" s="250"/>
      <c r="G836" s="508"/>
    </row>
    <row r="837" spans="5:7" ht="18.75">
      <c r="E837" s="173"/>
      <c r="F837" s="3"/>
      <c r="G837" s="118" t="s">
        <v>548</v>
      </c>
    </row>
    <row r="838" spans="5:7" ht="18.75">
      <c r="E838" s="173"/>
      <c r="F838" s="3"/>
      <c r="G838" s="118" t="s">
        <v>479</v>
      </c>
    </row>
    <row r="839" spans="1:7" ht="18.75">
      <c r="A839" s="700" t="s">
        <v>153</v>
      </c>
      <c r="B839" s="700"/>
      <c r="C839" s="700"/>
      <c r="D839" s="700"/>
      <c r="E839" s="700"/>
      <c r="F839" s="700"/>
      <c r="G839" s="700"/>
    </row>
    <row r="840" spans="1:6" ht="18.75">
      <c r="A840" s="4" t="s">
        <v>138</v>
      </c>
      <c r="E840" s="173"/>
      <c r="F840" s="3"/>
    </row>
    <row r="841" spans="1:7" ht="18.75">
      <c r="A841" s="517" t="s">
        <v>0</v>
      </c>
      <c r="B841" s="518"/>
      <c r="C841" s="518"/>
      <c r="D841" s="518"/>
      <c r="E841" s="444" t="s">
        <v>139</v>
      </c>
      <c r="F841" s="248" t="s">
        <v>40</v>
      </c>
      <c r="G841" s="444" t="s">
        <v>1</v>
      </c>
    </row>
    <row r="842" spans="1:7" ht="18.75">
      <c r="A842" s="144" t="s">
        <v>59</v>
      </c>
      <c r="B842" s="510"/>
      <c r="C842" s="510"/>
      <c r="D842" s="510"/>
      <c r="E842" s="511">
        <v>210500</v>
      </c>
      <c r="F842" s="135">
        <v>19139.22</v>
      </c>
      <c r="G842" s="135"/>
    </row>
    <row r="843" spans="1:7" ht="18.75">
      <c r="A843" s="136"/>
      <c r="B843" s="124" t="s">
        <v>15</v>
      </c>
      <c r="E843" s="511">
        <v>300000</v>
      </c>
      <c r="F843" s="125"/>
      <c r="G843" s="125">
        <f>+F842</f>
        <v>19139.22</v>
      </c>
    </row>
    <row r="844" spans="1:7" ht="18.75">
      <c r="A844" s="138"/>
      <c r="B844" s="124"/>
      <c r="E844" s="146"/>
      <c r="F844" s="125"/>
      <c r="G844" s="125"/>
    </row>
    <row r="845" spans="1:7" ht="18.75">
      <c r="A845" s="138"/>
      <c r="B845" s="124"/>
      <c r="E845" s="146"/>
      <c r="F845" s="125"/>
      <c r="G845" s="125"/>
    </row>
    <row r="846" spans="1:7" ht="18.75">
      <c r="A846" s="138"/>
      <c r="B846" s="124"/>
      <c r="E846" s="146"/>
      <c r="F846" s="125"/>
      <c r="G846" s="125"/>
    </row>
    <row r="847" spans="1:7" ht="18.75">
      <c r="A847" s="123"/>
      <c r="B847" s="124"/>
      <c r="E847" s="146"/>
      <c r="F847" s="125"/>
      <c r="G847" s="125"/>
    </row>
    <row r="848" spans="1:7" ht="18.75">
      <c r="A848" s="123"/>
      <c r="B848" s="124"/>
      <c r="E848" s="146"/>
      <c r="F848" s="125"/>
      <c r="G848" s="125"/>
    </row>
    <row r="849" spans="1:7" ht="18.75">
      <c r="A849" s="123"/>
      <c r="B849" s="124"/>
      <c r="E849" s="146"/>
      <c r="F849" s="125"/>
      <c r="G849" s="125"/>
    </row>
    <row r="850" spans="1:7" ht="18.75">
      <c r="A850" s="123"/>
      <c r="B850" s="124"/>
      <c r="E850" s="146"/>
      <c r="F850" s="125"/>
      <c r="G850" s="125"/>
    </row>
    <row r="851" spans="1:7" ht="18.75">
      <c r="A851" s="123"/>
      <c r="B851" s="124"/>
      <c r="E851" s="146"/>
      <c r="F851" s="125"/>
      <c r="G851" s="125"/>
    </row>
    <row r="852" spans="1:7" ht="18.75">
      <c r="A852" s="123"/>
      <c r="B852" s="124"/>
      <c r="E852" s="146"/>
      <c r="F852" s="125"/>
      <c r="G852" s="125"/>
    </row>
    <row r="853" spans="1:7" ht="18.75">
      <c r="A853" s="123"/>
      <c r="B853" s="124"/>
      <c r="E853" s="146"/>
      <c r="F853" s="125"/>
      <c r="G853" s="125"/>
    </row>
    <row r="854" spans="1:7" ht="18.75">
      <c r="A854" s="123"/>
      <c r="B854" s="124"/>
      <c r="E854" s="146"/>
      <c r="F854" s="125"/>
      <c r="G854" s="125"/>
    </row>
    <row r="855" spans="1:7" ht="18.75">
      <c r="A855" s="123"/>
      <c r="B855" s="124"/>
      <c r="E855" s="146"/>
      <c r="F855" s="125"/>
      <c r="G855" s="125"/>
    </row>
    <row r="856" spans="1:7" ht="18.75">
      <c r="A856" s="123"/>
      <c r="B856" s="124"/>
      <c r="E856" s="146"/>
      <c r="F856" s="125"/>
      <c r="G856" s="125"/>
    </row>
    <row r="857" spans="1:7" ht="18.75">
      <c r="A857" s="123"/>
      <c r="B857" s="124"/>
      <c r="E857" s="146"/>
      <c r="F857" s="125"/>
      <c r="G857" s="125"/>
    </row>
    <row r="858" spans="1:7" ht="18.75">
      <c r="A858" s="123"/>
      <c r="B858" s="124"/>
      <c r="E858" s="146"/>
      <c r="F858" s="125"/>
      <c r="G858" s="125"/>
    </row>
    <row r="859" spans="1:7" ht="18.75">
      <c r="A859" s="127"/>
      <c r="B859" s="128"/>
      <c r="C859" s="128"/>
      <c r="D859" s="128"/>
      <c r="E859" s="507"/>
      <c r="F859" s="129"/>
      <c r="G859" s="129"/>
    </row>
    <row r="860" spans="5:7" ht="19.5" thickBot="1">
      <c r="E860" s="173"/>
      <c r="F860" s="130">
        <f>SUM(F842:F859)</f>
        <v>19139.22</v>
      </c>
      <c r="G860" s="130">
        <f>SUM(G842:G859)</f>
        <v>19139.22</v>
      </c>
    </row>
    <row r="861" spans="5:7" ht="19.5" thickTop="1">
      <c r="E861" s="173"/>
      <c r="F861" s="3"/>
      <c r="G861" s="3"/>
    </row>
    <row r="862" spans="1:7" ht="18.75">
      <c r="A862" s="4" t="s">
        <v>141</v>
      </c>
      <c r="B862" s="4" t="s">
        <v>369</v>
      </c>
      <c r="E862" s="173"/>
      <c r="F862" s="3"/>
      <c r="G862" s="131"/>
    </row>
    <row r="863" spans="2:7" ht="18.75">
      <c r="B863" s="4"/>
      <c r="E863" s="173"/>
      <c r="F863" s="3"/>
      <c r="G863" s="3"/>
    </row>
    <row r="864" spans="2:7" ht="18.75">
      <c r="B864" s="4"/>
      <c r="E864" s="173"/>
      <c r="F864" s="3"/>
      <c r="G864" s="3"/>
    </row>
    <row r="865" spans="1:7" ht="18.75">
      <c r="A865" s="693" t="s">
        <v>144</v>
      </c>
      <c r="B865" s="694"/>
      <c r="C865" s="695"/>
      <c r="D865" s="693" t="s">
        <v>143</v>
      </c>
      <c r="E865" s="695"/>
      <c r="F865" s="693" t="s">
        <v>142</v>
      </c>
      <c r="G865" s="695"/>
    </row>
    <row r="866" spans="1:7" ht="18.75">
      <c r="A866" s="123"/>
      <c r="B866" s="124"/>
      <c r="C866" s="126"/>
      <c r="D866" s="123"/>
      <c r="E866" s="513"/>
      <c r="F866" s="249"/>
      <c r="G866" s="126"/>
    </row>
    <row r="867" spans="1:7" ht="18.75">
      <c r="A867" s="696" t="s">
        <v>351</v>
      </c>
      <c r="B867" s="697"/>
      <c r="C867" s="698"/>
      <c r="D867" s="696" t="s">
        <v>33</v>
      </c>
      <c r="E867" s="698"/>
      <c r="F867" s="696" t="str">
        <f>+A867</f>
        <v>(นางสาววรรณา  ผลบุญ)</v>
      </c>
      <c r="G867" s="698"/>
    </row>
    <row r="868" spans="1:7" ht="18.75">
      <c r="A868" s="696" t="s">
        <v>352</v>
      </c>
      <c r="B868" s="697"/>
      <c r="C868" s="698"/>
      <c r="D868" s="696" t="s">
        <v>389</v>
      </c>
      <c r="E868" s="698"/>
      <c r="F868" s="696" t="str">
        <f>+A868</f>
        <v>เจ้าพนักงานการเงินและบัญชี</v>
      </c>
      <c r="G868" s="698"/>
    </row>
    <row r="869" spans="1:7" ht="18.75">
      <c r="A869" s="507"/>
      <c r="B869" s="520"/>
      <c r="C869" s="508"/>
      <c r="D869" s="687" t="s">
        <v>36</v>
      </c>
      <c r="E869" s="688"/>
      <c r="F869" s="250"/>
      <c r="G869" s="508"/>
    </row>
    <row r="870" spans="5:7" ht="18.75">
      <c r="E870" s="173"/>
      <c r="F870" s="3"/>
      <c r="G870" s="118" t="s">
        <v>543</v>
      </c>
    </row>
    <row r="871" spans="5:7" ht="18.75">
      <c r="E871" s="173"/>
      <c r="F871" s="3"/>
      <c r="G871" s="118" t="s">
        <v>479</v>
      </c>
    </row>
    <row r="872" spans="1:7" ht="18.75">
      <c r="A872" s="700" t="s">
        <v>153</v>
      </c>
      <c r="B872" s="700"/>
      <c r="C872" s="700"/>
      <c r="D872" s="700"/>
      <c r="E872" s="700"/>
      <c r="F872" s="700"/>
      <c r="G872" s="700"/>
    </row>
    <row r="873" spans="1:6" ht="18.75">
      <c r="A873" s="4" t="s">
        <v>138</v>
      </c>
      <c r="E873" s="173"/>
      <c r="F873" s="3"/>
    </row>
    <row r="874" spans="1:7" ht="18.75">
      <c r="A874" s="517" t="s">
        <v>0</v>
      </c>
      <c r="B874" s="518"/>
      <c r="C874" s="518"/>
      <c r="D874" s="518"/>
      <c r="E874" s="444" t="s">
        <v>139</v>
      </c>
      <c r="F874" s="248" t="s">
        <v>40</v>
      </c>
      <c r="G874" s="444" t="s">
        <v>1</v>
      </c>
    </row>
    <row r="875" spans="1:7" ht="18.75">
      <c r="A875" s="144" t="s">
        <v>550</v>
      </c>
      <c r="B875" s="510"/>
      <c r="C875" s="510"/>
      <c r="D875" s="510"/>
      <c r="E875" s="511">
        <v>410000</v>
      </c>
      <c r="F875" s="135">
        <v>53500</v>
      </c>
      <c r="G875" s="135"/>
    </row>
    <row r="876" spans="1:7" ht="18.75">
      <c r="A876" s="136"/>
      <c r="B876" s="124" t="s">
        <v>551</v>
      </c>
      <c r="E876" s="511">
        <v>410000</v>
      </c>
      <c r="F876" s="125"/>
      <c r="G876" s="125">
        <f>+F875</f>
        <v>53500</v>
      </c>
    </row>
    <row r="877" spans="1:7" ht="18.75">
      <c r="A877" s="138"/>
      <c r="B877" s="124"/>
      <c r="E877" s="146"/>
      <c r="F877" s="125"/>
      <c r="G877" s="125"/>
    </row>
    <row r="878" spans="1:7" ht="18.75">
      <c r="A878" s="138"/>
      <c r="B878" s="124"/>
      <c r="E878" s="146"/>
      <c r="F878" s="125"/>
      <c r="G878" s="125"/>
    </row>
    <row r="879" spans="1:7" ht="18.75">
      <c r="A879" s="138"/>
      <c r="B879" s="124"/>
      <c r="E879" s="146"/>
      <c r="F879" s="125"/>
      <c r="G879" s="125"/>
    </row>
    <row r="880" spans="1:7" ht="18.75">
      <c r="A880" s="123"/>
      <c r="B880" s="124"/>
      <c r="E880" s="146"/>
      <c r="F880" s="125"/>
      <c r="G880" s="125"/>
    </row>
    <row r="881" spans="1:7" ht="18.75">
      <c r="A881" s="123"/>
      <c r="B881" s="124"/>
      <c r="E881" s="146"/>
      <c r="F881" s="125"/>
      <c r="G881" s="125"/>
    </row>
    <row r="882" spans="1:7" ht="18.75">
      <c r="A882" s="123"/>
      <c r="B882" s="124"/>
      <c r="E882" s="146"/>
      <c r="F882" s="125"/>
      <c r="G882" s="125"/>
    </row>
    <row r="883" spans="1:7" ht="18.75">
      <c r="A883" s="123"/>
      <c r="B883" s="124"/>
      <c r="E883" s="146"/>
      <c r="F883" s="125"/>
      <c r="G883" s="125"/>
    </row>
    <row r="884" spans="1:7" ht="18.75">
      <c r="A884" s="123"/>
      <c r="B884" s="124"/>
      <c r="E884" s="146"/>
      <c r="F884" s="125"/>
      <c r="G884" s="125"/>
    </row>
    <row r="885" spans="1:7" ht="18.75">
      <c r="A885" s="123"/>
      <c r="B885" s="124"/>
      <c r="E885" s="146"/>
      <c r="F885" s="125"/>
      <c r="G885" s="125"/>
    </row>
    <row r="886" spans="1:7" ht="18.75">
      <c r="A886" s="123"/>
      <c r="B886" s="124"/>
      <c r="E886" s="146"/>
      <c r="F886" s="125"/>
      <c r="G886" s="125"/>
    </row>
    <row r="887" spans="1:7" ht="18.75">
      <c r="A887" s="123"/>
      <c r="B887" s="124"/>
      <c r="E887" s="146"/>
      <c r="F887" s="125"/>
      <c r="G887" s="125"/>
    </row>
    <row r="888" spans="1:7" ht="18.75">
      <c r="A888" s="123"/>
      <c r="B888" s="124"/>
      <c r="E888" s="146"/>
      <c r="F888" s="125"/>
      <c r="G888" s="125"/>
    </row>
    <row r="889" spans="1:7" ht="18.75">
      <c r="A889" s="123"/>
      <c r="B889" s="124"/>
      <c r="E889" s="146"/>
      <c r="F889" s="125"/>
      <c r="G889" s="125"/>
    </row>
    <row r="890" spans="1:7" ht="18.75">
      <c r="A890" s="123"/>
      <c r="B890" s="124"/>
      <c r="E890" s="146"/>
      <c r="F890" s="125"/>
      <c r="G890" s="125"/>
    </row>
    <row r="891" spans="1:7" ht="18.75">
      <c r="A891" s="123"/>
      <c r="B891" s="124"/>
      <c r="E891" s="146"/>
      <c r="F891" s="125"/>
      <c r="G891" s="125"/>
    </row>
    <row r="892" spans="1:7" ht="18.75">
      <c r="A892" s="127"/>
      <c r="B892" s="128"/>
      <c r="C892" s="128"/>
      <c r="D892" s="128"/>
      <c r="E892" s="507"/>
      <c r="F892" s="129"/>
      <c r="G892" s="129"/>
    </row>
    <row r="893" spans="5:7" ht="19.5" thickBot="1">
      <c r="E893" s="173"/>
      <c r="F893" s="130">
        <f>SUM(F875:F892)</f>
        <v>53500</v>
      </c>
      <c r="G893" s="130">
        <f>SUM(G875:G892)</f>
        <v>53500</v>
      </c>
    </row>
    <row r="894" spans="5:7" ht="19.5" thickTop="1">
      <c r="E894" s="173"/>
      <c r="F894" s="3"/>
      <c r="G894" s="3"/>
    </row>
    <row r="895" spans="1:7" ht="18.75">
      <c r="A895" s="4" t="s">
        <v>141</v>
      </c>
      <c r="B895" s="4" t="s">
        <v>553</v>
      </c>
      <c r="E895" s="173"/>
      <c r="F895" s="3"/>
      <c r="G895" s="131"/>
    </row>
    <row r="896" spans="1:7" s="4" customFormat="1" ht="18.75">
      <c r="A896" s="4" t="s">
        <v>554</v>
      </c>
      <c r="E896" s="509"/>
      <c r="F896" s="105"/>
      <c r="G896" s="105"/>
    </row>
    <row r="897" spans="1:7" s="4" customFormat="1" ht="18.75">
      <c r="A897" s="4" t="s">
        <v>555</v>
      </c>
      <c r="E897" s="509"/>
      <c r="F897" s="105"/>
      <c r="G897" s="105"/>
    </row>
    <row r="898" spans="1:7" ht="18.75">
      <c r="A898" s="693" t="s">
        <v>144</v>
      </c>
      <c r="B898" s="694"/>
      <c r="C898" s="695"/>
      <c r="D898" s="693" t="s">
        <v>143</v>
      </c>
      <c r="E898" s="695"/>
      <c r="F898" s="693" t="s">
        <v>142</v>
      </c>
      <c r="G898" s="695"/>
    </row>
    <row r="899" spans="1:7" ht="18.75">
      <c r="A899" s="123"/>
      <c r="B899" s="124"/>
      <c r="C899" s="126"/>
      <c r="D899" s="123"/>
      <c r="E899" s="513"/>
      <c r="F899" s="249"/>
      <c r="G899" s="126"/>
    </row>
    <row r="900" spans="1:7" ht="18.75">
      <c r="A900" s="696" t="s">
        <v>351</v>
      </c>
      <c r="B900" s="697"/>
      <c r="C900" s="698"/>
      <c r="D900" s="696" t="s">
        <v>33</v>
      </c>
      <c r="E900" s="698"/>
      <c r="F900" s="696" t="str">
        <f>+A900</f>
        <v>(นางสาววรรณา  ผลบุญ)</v>
      </c>
      <c r="G900" s="698"/>
    </row>
    <row r="901" spans="1:7" ht="18.75">
      <c r="A901" s="696" t="s">
        <v>352</v>
      </c>
      <c r="B901" s="697"/>
      <c r="C901" s="698"/>
      <c r="D901" s="696" t="s">
        <v>389</v>
      </c>
      <c r="E901" s="698"/>
      <c r="F901" s="696" t="str">
        <f>+A901</f>
        <v>เจ้าพนักงานการเงินและบัญชี</v>
      </c>
      <c r="G901" s="698"/>
    </row>
    <row r="902" spans="1:7" ht="18.75">
      <c r="A902" s="507"/>
      <c r="B902" s="520"/>
      <c r="C902" s="508"/>
      <c r="D902" s="687" t="s">
        <v>36</v>
      </c>
      <c r="E902" s="688"/>
      <c r="F902" s="250"/>
      <c r="G902" s="508"/>
    </row>
    <row r="903" spans="5:7" ht="18.75">
      <c r="E903" s="173"/>
      <c r="F903" s="3"/>
      <c r="G903" s="118" t="s">
        <v>552</v>
      </c>
    </row>
    <row r="904" spans="5:7" ht="18.75">
      <c r="E904" s="173"/>
      <c r="F904" s="3"/>
      <c r="G904" s="118" t="s">
        <v>479</v>
      </c>
    </row>
    <row r="905" spans="1:7" ht="18.75">
      <c r="A905" s="700" t="s">
        <v>153</v>
      </c>
      <c r="B905" s="700"/>
      <c r="C905" s="700"/>
      <c r="D905" s="700"/>
      <c r="E905" s="700"/>
      <c r="F905" s="700"/>
      <c r="G905" s="700"/>
    </row>
    <row r="906" spans="1:6" ht="18.75">
      <c r="A906" s="4" t="s">
        <v>138</v>
      </c>
      <c r="E906" s="173"/>
      <c r="F906" s="3"/>
    </row>
    <row r="907" spans="1:7" ht="18.75">
      <c r="A907" s="517" t="s">
        <v>0</v>
      </c>
      <c r="B907" s="518"/>
      <c r="C907" s="518"/>
      <c r="D907" s="518"/>
      <c r="E907" s="444" t="s">
        <v>139</v>
      </c>
      <c r="F907" s="248" t="s">
        <v>40</v>
      </c>
      <c r="G907" s="444" t="s">
        <v>1</v>
      </c>
    </row>
    <row r="908" spans="1:7" ht="18.75">
      <c r="A908" s="144" t="s">
        <v>550</v>
      </c>
      <c r="B908" s="510"/>
      <c r="C908" s="510"/>
      <c r="D908" s="510"/>
      <c r="E908" s="511">
        <v>410000</v>
      </c>
      <c r="F908" s="135">
        <v>53500</v>
      </c>
      <c r="G908" s="135"/>
    </row>
    <row r="909" spans="1:7" ht="18.75">
      <c r="A909" s="136"/>
      <c r="B909" s="124" t="s">
        <v>551</v>
      </c>
      <c r="E909" s="511">
        <v>410000</v>
      </c>
      <c r="F909" s="125"/>
      <c r="G909" s="125">
        <f>+F908</f>
        <v>53500</v>
      </c>
    </row>
    <row r="910" spans="1:7" ht="18.75">
      <c r="A910" s="138"/>
      <c r="B910" s="124"/>
      <c r="E910" s="146"/>
      <c r="F910" s="125"/>
      <c r="G910" s="125"/>
    </row>
    <row r="911" spans="1:7" ht="18.75">
      <c r="A911" s="138"/>
      <c r="B911" s="124"/>
      <c r="E911" s="146"/>
      <c r="F911" s="125"/>
      <c r="G911" s="125"/>
    </row>
    <row r="912" spans="1:7" ht="18.75">
      <c r="A912" s="138"/>
      <c r="B912" s="124"/>
      <c r="E912" s="146"/>
      <c r="F912" s="125"/>
      <c r="G912" s="125"/>
    </row>
    <row r="913" spans="1:7" ht="18.75">
      <c r="A913" s="123"/>
      <c r="B913" s="124"/>
      <c r="E913" s="146"/>
      <c r="F913" s="125"/>
      <c r="G913" s="125"/>
    </row>
    <row r="914" spans="1:7" ht="18.75">
      <c r="A914" s="123"/>
      <c r="B914" s="124"/>
      <c r="E914" s="146"/>
      <c r="F914" s="125"/>
      <c r="G914" s="125"/>
    </row>
    <row r="915" spans="1:7" ht="18.75">
      <c r="A915" s="123"/>
      <c r="B915" s="124"/>
      <c r="E915" s="146"/>
      <c r="F915" s="125"/>
      <c r="G915" s="125"/>
    </row>
    <row r="916" spans="1:7" ht="18.75">
      <c r="A916" s="123"/>
      <c r="B916" s="124"/>
      <c r="E916" s="146"/>
      <c r="F916" s="125"/>
      <c r="G916" s="125"/>
    </row>
    <row r="917" spans="1:7" ht="18.75">
      <c r="A917" s="123"/>
      <c r="B917" s="124"/>
      <c r="E917" s="146"/>
      <c r="F917" s="125"/>
      <c r="G917" s="125"/>
    </row>
    <row r="918" spans="1:7" ht="18.75">
      <c r="A918" s="123"/>
      <c r="B918" s="124"/>
      <c r="E918" s="146"/>
      <c r="F918" s="125"/>
      <c r="G918" s="125"/>
    </row>
    <row r="919" spans="1:7" ht="18.75">
      <c r="A919" s="123"/>
      <c r="B919" s="124"/>
      <c r="E919" s="146"/>
      <c r="F919" s="125"/>
      <c r="G919" s="125"/>
    </row>
    <row r="920" spans="1:7" ht="18.75">
      <c r="A920" s="123"/>
      <c r="B920" s="124"/>
      <c r="E920" s="146"/>
      <c r="F920" s="125"/>
      <c r="G920" s="125"/>
    </row>
    <row r="921" spans="1:7" ht="18.75">
      <c r="A921" s="123"/>
      <c r="B921" s="124"/>
      <c r="E921" s="146"/>
      <c r="F921" s="125"/>
      <c r="G921" s="125"/>
    </row>
    <row r="922" spans="1:7" ht="18.75">
      <c r="A922" s="123"/>
      <c r="B922" s="124"/>
      <c r="E922" s="146"/>
      <c r="F922" s="125"/>
      <c r="G922" s="125"/>
    </row>
    <row r="923" spans="1:7" ht="18.75">
      <c r="A923" s="123"/>
      <c r="B923" s="124"/>
      <c r="E923" s="146"/>
      <c r="F923" s="125"/>
      <c r="G923" s="125"/>
    </row>
    <row r="924" spans="1:7" ht="18.75">
      <c r="A924" s="123"/>
      <c r="B924" s="124"/>
      <c r="E924" s="146"/>
      <c r="F924" s="125"/>
      <c r="G924" s="125"/>
    </row>
    <row r="925" spans="1:7" ht="18.75">
      <c r="A925" s="127"/>
      <c r="B925" s="128"/>
      <c r="C925" s="128"/>
      <c r="D925" s="128"/>
      <c r="E925" s="507"/>
      <c r="F925" s="129"/>
      <c r="G925" s="129"/>
    </row>
    <row r="926" spans="5:7" ht="19.5" thickBot="1">
      <c r="E926" s="173"/>
      <c r="F926" s="130">
        <f>SUM(F908:F925)</f>
        <v>53500</v>
      </c>
      <c r="G926" s="130">
        <f>SUM(G908:G925)</f>
        <v>53500</v>
      </c>
    </row>
    <row r="927" spans="5:7" ht="19.5" thickTop="1">
      <c r="E927" s="173"/>
      <c r="F927" s="3"/>
      <c r="G927" s="3"/>
    </row>
    <row r="928" spans="1:7" ht="18.75">
      <c r="A928" s="4" t="s">
        <v>141</v>
      </c>
      <c r="B928" s="4" t="s">
        <v>553</v>
      </c>
      <c r="E928" s="173"/>
      <c r="F928" s="3"/>
      <c r="G928" s="131"/>
    </row>
    <row r="929" spans="1:7" ht="18.75">
      <c r="A929" s="4" t="s">
        <v>554</v>
      </c>
      <c r="B929" s="4"/>
      <c r="C929" s="4"/>
      <c r="D929" s="4"/>
      <c r="E929" s="509"/>
      <c r="F929" s="105"/>
      <c r="G929" s="105"/>
    </row>
    <row r="930" spans="1:7" ht="18.75">
      <c r="A930" s="4" t="s">
        <v>555</v>
      </c>
      <c r="B930" s="4"/>
      <c r="C930" s="4"/>
      <c r="D930" s="4"/>
      <c r="E930" s="509"/>
      <c r="F930" s="105"/>
      <c r="G930" s="105"/>
    </row>
    <row r="931" spans="1:7" ht="18.75">
      <c r="A931" s="693" t="s">
        <v>144</v>
      </c>
      <c r="B931" s="694"/>
      <c r="C931" s="695"/>
      <c r="D931" s="693" t="s">
        <v>143</v>
      </c>
      <c r="E931" s="695"/>
      <c r="F931" s="693" t="s">
        <v>142</v>
      </c>
      <c r="G931" s="695"/>
    </row>
    <row r="932" spans="1:7" ht="18.75">
      <c r="A932" s="123"/>
      <c r="B932" s="124"/>
      <c r="C932" s="126"/>
      <c r="D932" s="123"/>
      <c r="E932" s="513"/>
      <c r="F932" s="249"/>
      <c r="G932" s="126"/>
    </row>
    <row r="933" spans="1:7" ht="18.75">
      <c r="A933" s="696" t="s">
        <v>351</v>
      </c>
      <c r="B933" s="697"/>
      <c r="C933" s="698"/>
      <c r="D933" s="696" t="s">
        <v>33</v>
      </c>
      <c r="E933" s="698"/>
      <c r="F933" s="696" t="str">
        <f>+A933</f>
        <v>(นางสาววรรณา  ผลบุญ)</v>
      </c>
      <c r="G933" s="698"/>
    </row>
    <row r="934" spans="1:7" ht="18.75">
      <c r="A934" s="696" t="s">
        <v>352</v>
      </c>
      <c r="B934" s="697"/>
      <c r="C934" s="698"/>
      <c r="D934" s="696" t="s">
        <v>389</v>
      </c>
      <c r="E934" s="698"/>
      <c r="F934" s="696" t="str">
        <f>+A934</f>
        <v>เจ้าพนักงานการเงินและบัญชี</v>
      </c>
      <c r="G934" s="698"/>
    </row>
    <row r="935" spans="1:7" ht="18.75">
      <c r="A935" s="507"/>
      <c r="B935" s="520"/>
      <c r="C935" s="508"/>
      <c r="D935" s="687" t="s">
        <v>36</v>
      </c>
      <c r="E935" s="688"/>
      <c r="F935" s="250"/>
      <c r="G935" s="508"/>
    </row>
    <row r="936" spans="5:7" ht="18.75">
      <c r="E936" s="173"/>
      <c r="F936" s="3"/>
      <c r="G936" s="118" t="s">
        <v>556</v>
      </c>
    </row>
    <row r="937" spans="5:7" ht="18.75">
      <c r="E937" s="173"/>
      <c r="F937" s="3"/>
      <c r="G937" s="118" t="s">
        <v>479</v>
      </c>
    </row>
    <row r="938" spans="1:7" ht="18.75">
      <c r="A938" s="700" t="s">
        <v>153</v>
      </c>
      <c r="B938" s="700"/>
      <c r="C938" s="700"/>
      <c r="D938" s="700"/>
      <c r="E938" s="700"/>
      <c r="F938" s="700"/>
      <c r="G938" s="700"/>
    </row>
    <row r="939" spans="1:6" ht="18.75">
      <c r="A939" s="4" t="s">
        <v>138</v>
      </c>
      <c r="E939" s="173"/>
      <c r="F939" s="3"/>
    </row>
    <row r="940" spans="1:7" ht="18.75">
      <c r="A940" s="517" t="s">
        <v>0</v>
      </c>
      <c r="B940" s="518"/>
      <c r="C940" s="518"/>
      <c r="D940" s="518"/>
      <c r="E940" s="444" t="s">
        <v>139</v>
      </c>
      <c r="F940" s="248" t="s">
        <v>40</v>
      </c>
      <c r="G940" s="444" t="s">
        <v>1</v>
      </c>
    </row>
    <row r="941" spans="1:7" ht="18.75">
      <c r="A941" s="144" t="s">
        <v>163</v>
      </c>
      <c r="B941" s="510"/>
      <c r="C941" s="510"/>
      <c r="D941" s="510"/>
      <c r="E941" s="511">
        <v>522000</v>
      </c>
      <c r="F941" s="135">
        <v>1495</v>
      </c>
      <c r="G941" s="135"/>
    </row>
    <row r="942" spans="1:7" ht="18.75">
      <c r="A942" s="136"/>
      <c r="B942" s="124" t="s">
        <v>3</v>
      </c>
      <c r="E942" s="511">
        <v>220400</v>
      </c>
      <c r="F942" s="125"/>
      <c r="G942" s="125">
        <v>415</v>
      </c>
    </row>
    <row r="943" spans="1:7" ht="18.75">
      <c r="A943" s="138"/>
      <c r="B943" s="124" t="s">
        <v>557</v>
      </c>
      <c r="E943" s="146">
        <v>441000</v>
      </c>
      <c r="F943" s="125"/>
      <c r="G943" s="125">
        <v>1080</v>
      </c>
    </row>
    <row r="944" spans="1:7" ht="18.75">
      <c r="A944" s="138"/>
      <c r="B944" s="124"/>
      <c r="E944" s="146"/>
      <c r="F944" s="125"/>
      <c r="G944" s="125"/>
    </row>
    <row r="945" spans="1:7" ht="18.75">
      <c r="A945" s="138"/>
      <c r="B945" s="124"/>
      <c r="E945" s="146"/>
      <c r="F945" s="125"/>
      <c r="G945" s="125"/>
    </row>
    <row r="946" spans="1:7" ht="18.75">
      <c r="A946" s="123"/>
      <c r="B946" s="124"/>
      <c r="E946" s="146"/>
      <c r="F946" s="125"/>
      <c r="G946" s="125"/>
    </row>
    <row r="947" spans="1:7" ht="18.75">
      <c r="A947" s="123"/>
      <c r="B947" s="124"/>
      <c r="E947" s="146"/>
      <c r="F947" s="125"/>
      <c r="G947" s="125"/>
    </row>
    <row r="948" spans="1:7" ht="18.75">
      <c r="A948" s="123"/>
      <c r="B948" s="124"/>
      <c r="E948" s="146"/>
      <c r="F948" s="125"/>
      <c r="G948" s="125"/>
    </row>
    <row r="949" spans="1:7" ht="18.75">
      <c r="A949" s="123"/>
      <c r="B949" s="124"/>
      <c r="E949" s="146"/>
      <c r="F949" s="125"/>
      <c r="G949" s="125"/>
    </row>
    <row r="950" spans="1:7" ht="18.75">
      <c r="A950" s="123"/>
      <c r="B950" s="124"/>
      <c r="E950" s="146"/>
      <c r="F950" s="125"/>
      <c r="G950" s="125"/>
    </row>
    <row r="951" spans="1:7" ht="18.75">
      <c r="A951" s="123"/>
      <c r="B951" s="124"/>
      <c r="E951" s="146"/>
      <c r="F951" s="125"/>
      <c r="G951" s="125"/>
    </row>
    <row r="952" spans="1:7" ht="18.75">
      <c r="A952" s="123"/>
      <c r="B952" s="124"/>
      <c r="E952" s="146"/>
      <c r="F952" s="125"/>
      <c r="G952" s="125"/>
    </row>
    <row r="953" spans="1:7" ht="18.75">
      <c r="A953" s="123"/>
      <c r="B953" s="124"/>
      <c r="E953" s="146"/>
      <c r="F953" s="125"/>
      <c r="G953" s="125"/>
    </row>
    <row r="954" spans="1:7" ht="18.75">
      <c r="A954" s="123"/>
      <c r="B954" s="124"/>
      <c r="E954" s="146"/>
      <c r="F954" s="125"/>
      <c r="G954" s="125"/>
    </row>
    <row r="955" spans="1:7" ht="18.75">
      <c r="A955" s="123"/>
      <c r="B955" s="124"/>
      <c r="E955" s="146"/>
      <c r="F955" s="125"/>
      <c r="G955" s="125"/>
    </row>
    <row r="956" spans="1:7" ht="18.75">
      <c r="A956" s="123"/>
      <c r="B956" s="124"/>
      <c r="E956" s="146"/>
      <c r="F956" s="125"/>
      <c r="G956" s="125"/>
    </row>
    <row r="957" spans="1:7" ht="18.75">
      <c r="A957" s="123"/>
      <c r="B957" s="124"/>
      <c r="E957" s="146"/>
      <c r="F957" s="125"/>
      <c r="G957" s="125"/>
    </row>
    <row r="958" spans="1:7" ht="18.75">
      <c r="A958" s="127"/>
      <c r="B958" s="128"/>
      <c r="C958" s="128"/>
      <c r="D958" s="128"/>
      <c r="E958" s="507"/>
      <c r="F958" s="129"/>
      <c r="G958" s="129"/>
    </row>
    <row r="959" spans="5:7" ht="19.5" thickBot="1">
      <c r="E959" s="173"/>
      <c r="F959" s="130">
        <f>SUM(F941:F958)</f>
        <v>1495</v>
      </c>
      <c r="G959" s="130">
        <f>SUM(G941:G958)</f>
        <v>1495</v>
      </c>
    </row>
    <row r="960" spans="5:7" ht="19.5" thickTop="1">
      <c r="E960" s="173"/>
      <c r="F960" s="3"/>
      <c r="G960" s="3"/>
    </row>
    <row r="961" spans="1:7" ht="18.75">
      <c r="A961" s="4" t="s">
        <v>141</v>
      </c>
      <c r="B961" s="4" t="s">
        <v>558</v>
      </c>
      <c r="E961" s="173"/>
      <c r="F961" s="3"/>
      <c r="G961" s="131"/>
    </row>
    <row r="962" spans="1:7" ht="18.75">
      <c r="A962" s="4"/>
      <c r="B962" s="4" t="s">
        <v>559</v>
      </c>
      <c r="C962" s="4"/>
      <c r="D962" s="4"/>
      <c r="E962" s="509"/>
      <c r="F962" s="105"/>
      <c r="G962" s="105"/>
    </row>
    <row r="963" spans="1:7" ht="18.75">
      <c r="A963" s="4"/>
      <c r="B963" s="4"/>
      <c r="C963" s="4"/>
      <c r="D963" s="4"/>
      <c r="E963" s="509"/>
      <c r="F963" s="105"/>
      <c r="G963" s="105"/>
    </row>
    <row r="964" spans="1:7" ht="18.75">
      <c r="A964" s="693" t="s">
        <v>144</v>
      </c>
      <c r="B964" s="694"/>
      <c r="C964" s="695"/>
      <c r="D964" s="693" t="s">
        <v>143</v>
      </c>
      <c r="E964" s="695"/>
      <c r="F964" s="693" t="s">
        <v>142</v>
      </c>
      <c r="G964" s="695"/>
    </row>
    <row r="965" spans="1:7" ht="18.75">
      <c r="A965" s="123"/>
      <c r="B965" s="124"/>
      <c r="C965" s="126"/>
      <c r="D965" s="123"/>
      <c r="E965" s="513"/>
      <c r="F965" s="249"/>
      <c r="G965" s="126"/>
    </row>
    <row r="966" spans="1:7" ht="18.75">
      <c r="A966" s="696" t="s">
        <v>351</v>
      </c>
      <c r="B966" s="697"/>
      <c r="C966" s="698"/>
      <c r="D966" s="696" t="s">
        <v>33</v>
      </c>
      <c r="E966" s="698"/>
      <c r="F966" s="696" t="str">
        <f>+A966</f>
        <v>(นางสาววรรณา  ผลบุญ)</v>
      </c>
      <c r="G966" s="698"/>
    </row>
    <row r="967" spans="1:7" ht="18.75">
      <c r="A967" s="696" t="s">
        <v>352</v>
      </c>
      <c r="B967" s="697"/>
      <c r="C967" s="698"/>
      <c r="D967" s="696" t="s">
        <v>389</v>
      </c>
      <c r="E967" s="698"/>
      <c r="F967" s="696" t="str">
        <f>+A967</f>
        <v>เจ้าพนักงานการเงินและบัญชี</v>
      </c>
      <c r="G967" s="698"/>
    </row>
    <row r="968" spans="1:7" ht="18.75">
      <c r="A968" s="507"/>
      <c r="B968" s="520"/>
      <c r="C968" s="508"/>
      <c r="D968" s="687" t="s">
        <v>36</v>
      </c>
      <c r="E968" s="688"/>
      <c r="F968" s="250"/>
      <c r="G968" s="508"/>
    </row>
    <row r="969" spans="5:7" ht="18.75">
      <c r="E969" s="173"/>
      <c r="F969" s="3"/>
      <c r="G969" s="118" t="s">
        <v>564</v>
      </c>
    </row>
    <row r="970" spans="5:7" ht="18.75">
      <c r="E970" s="173"/>
      <c r="F970" s="3"/>
      <c r="G970" s="118" t="s">
        <v>479</v>
      </c>
    </row>
    <row r="971" spans="1:7" ht="18.75">
      <c r="A971" s="700" t="s">
        <v>153</v>
      </c>
      <c r="B971" s="700"/>
      <c r="C971" s="700"/>
      <c r="D971" s="700"/>
      <c r="E971" s="700"/>
      <c r="F971" s="700"/>
      <c r="G971" s="700"/>
    </row>
    <row r="972" spans="1:6" ht="18.75">
      <c r="A972" s="4" t="s">
        <v>138</v>
      </c>
      <c r="E972" s="173"/>
      <c r="F972" s="3"/>
    </row>
    <row r="973" spans="1:7" ht="18.75">
      <c r="A973" s="517" t="s">
        <v>0</v>
      </c>
      <c r="B973" s="518"/>
      <c r="C973" s="518"/>
      <c r="D973" s="518"/>
      <c r="E973" s="444" t="s">
        <v>139</v>
      </c>
      <c r="F973" s="248" t="s">
        <v>40</v>
      </c>
      <c r="G973" s="444" t="s">
        <v>1</v>
      </c>
    </row>
    <row r="974" spans="1:7" ht="18.75">
      <c r="A974" s="144" t="s">
        <v>15</v>
      </c>
      <c r="B974" s="510"/>
      <c r="C974" s="510"/>
      <c r="D974" s="510"/>
      <c r="E974" s="511">
        <v>300000</v>
      </c>
      <c r="F974" s="135">
        <v>1777355.52</v>
      </c>
      <c r="G974" s="135"/>
    </row>
    <row r="975" spans="1:8" ht="18.75">
      <c r="A975" s="136"/>
      <c r="B975" s="124" t="s">
        <v>563</v>
      </c>
      <c r="E975" s="511">
        <v>320000</v>
      </c>
      <c r="F975" s="125"/>
      <c r="G975" s="125">
        <f>+F974</f>
        <v>1777355.52</v>
      </c>
      <c r="H975" s="113">
        <f>+'[1]เงินสะสม (5)'!$C$8</f>
        <v>1777355.522500001</v>
      </c>
    </row>
    <row r="976" spans="1:7" ht="18.75">
      <c r="A976" s="138"/>
      <c r="B976" s="124"/>
      <c r="E976" s="146"/>
      <c r="F976" s="125"/>
      <c r="G976" s="125"/>
    </row>
    <row r="977" spans="1:7" ht="18.75">
      <c r="A977" s="138"/>
      <c r="B977" s="124"/>
      <c r="E977" s="146"/>
      <c r="F977" s="125"/>
      <c r="G977" s="125"/>
    </row>
    <row r="978" spans="1:7" ht="18.75">
      <c r="A978" s="138"/>
      <c r="B978" s="124"/>
      <c r="E978" s="146"/>
      <c r="F978" s="125"/>
      <c r="G978" s="125"/>
    </row>
    <row r="979" spans="1:7" ht="18.75">
      <c r="A979" s="123"/>
      <c r="B979" s="124"/>
      <c r="E979" s="146"/>
      <c r="F979" s="125"/>
      <c r="G979" s="125"/>
    </row>
    <row r="980" spans="1:7" ht="18.75">
      <c r="A980" s="123"/>
      <c r="B980" s="124"/>
      <c r="E980" s="146"/>
      <c r="F980" s="125"/>
      <c r="G980" s="125"/>
    </row>
    <row r="981" spans="1:7" ht="18.75">
      <c r="A981" s="123"/>
      <c r="B981" s="124"/>
      <c r="E981" s="146"/>
      <c r="F981" s="125"/>
      <c r="G981" s="125"/>
    </row>
    <row r="982" spans="1:7" ht="18.75">
      <c r="A982" s="123"/>
      <c r="B982" s="124"/>
      <c r="E982" s="146"/>
      <c r="F982" s="125"/>
      <c r="G982" s="125"/>
    </row>
    <row r="983" spans="1:7" ht="18.75">
      <c r="A983" s="123"/>
      <c r="B983" s="124"/>
      <c r="E983" s="146"/>
      <c r="F983" s="125"/>
      <c r="G983" s="125"/>
    </row>
    <row r="984" spans="1:7" ht="18.75">
      <c r="A984" s="123"/>
      <c r="B984" s="124"/>
      <c r="E984" s="146"/>
      <c r="F984" s="125"/>
      <c r="G984" s="125"/>
    </row>
    <row r="985" spans="1:7" ht="18.75">
      <c r="A985" s="123"/>
      <c r="B985" s="124"/>
      <c r="E985" s="146"/>
      <c r="F985" s="125"/>
      <c r="G985" s="125"/>
    </row>
    <row r="986" spans="1:7" ht="18.75">
      <c r="A986" s="123"/>
      <c r="B986" s="124"/>
      <c r="E986" s="146"/>
      <c r="F986" s="125"/>
      <c r="G986" s="125"/>
    </row>
    <row r="987" spans="1:7" ht="18.75">
      <c r="A987" s="123"/>
      <c r="B987" s="124"/>
      <c r="E987" s="146"/>
      <c r="F987" s="125"/>
      <c r="G987" s="125"/>
    </row>
    <row r="988" spans="1:7" ht="18.75">
      <c r="A988" s="123"/>
      <c r="B988" s="124"/>
      <c r="E988" s="146"/>
      <c r="F988" s="125"/>
      <c r="G988" s="125"/>
    </row>
    <row r="989" spans="1:7" ht="18.75">
      <c r="A989" s="123"/>
      <c r="B989" s="124"/>
      <c r="E989" s="146"/>
      <c r="F989" s="125"/>
      <c r="G989" s="125"/>
    </row>
    <row r="990" spans="1:7" ht="18.75">
      <c r="A990" s="123"/>
      <c r="B990" s="124"/>
      <c r="E990" s="146"/>
      <c r="F990" s="125"/>
      <c r="G990" s="125"/>
    </row>
    <row r="991" spans="1:7" ht="18.75">
      <c r="A991" s="127"/>
      <c r="B991" s="128"/>
      <c r="C991" s="128"/>
      <c r="D991" s="128"/>
      <c r="E991" s="507"/>
      <c r="F991" s="129"/>
      <c r="G991" s="129"/>
    </row>
    <row r="992" spans="5:7" ht="19.5" thickBot="1">
      <c r="E992" s="173"/>
      <c r="F992" s="130">
        <f>SUM(F974:F991)</f>
        <v>1777355.52</v>
      </c>
      <c r="G992" s="130">
        <f>SUM(G974:G991)</f>
        <v>1777355.52</v>
      </c>
    </row>
    <row r="993" spans="5:7" ht="19.5" thickTop="1">
      <c r="E993" s="173"/>
      <c r="F993" s="3"/>
      <c r="G993" s="3"/>
    </row>
    <row r="994" spans="1:7" ht="18.75">
      <c r="A994" s="4" t="s">
        <v>141</v>
      </c>
      <c r="B994" s="4" t="s">
        <v>562</v>
      </c>
      <c r="E994" s="173"/>
      <c r="F994" s="3"/>
      <c r="G994" s="131"/>
    </row>
    <row r="995" spans="1:7" ht="18.75">
      <c r="A995" s="4"/>
      <c r="B995" s="4"/>
      <c r="C995" s="4"/>
      <c r="D995" s="4"/>
      <c r="E995" s="509"/>
      <c r="F995" s="105"/>
      <c r="G995" s="105"/>
    </row>
    <row r="996" spans="1:7" ht="18.75">
      <c r="A996" s="4"/>
      <c r="B996" s="4"/>
      <c r="C996" s="4"/>
      <c r="D996" s="4"/>
      <c r="E996" s="509"/>
      <c r="F996" s="105"/>
      <c r="G996" s="105"/>
    </row>
    <row r="997" spans="1:7" ht="18.75">
      <c r="A997" s="693" t="s">
        <v>144</v>
      </c>
      <c r="B997" s="694"/>
      <c r="C997" s="695"/>
      <c r="D997" s="693" t="s">
        <v>143</v>
      </c>
      <c r="E997" s="695"/>
      <c r="F997" s="693" t="s">
        <v>142</v>
      </c>
      <c r="G997" s="695"/>
    </row>
    <row r="998" spans="1:7" ht="18.75">
      <c r="A998" s="123"/>
      <c r="B998" s="124"/>
      <c r="C998" s="126"/>
      <c r="D998" s="123"/>
      <c r="E998" s="513"/>
      <c r="F998" s="249"/>
      <c r="G998" s="126"/>
    </row>
    <row r="999" spans="1:7" ht="18.75">
      <c r="A999" s="696" t="s">
        <v>351</v>
      </c>
      <c r="B999" s="697"/>
      <c r="C999" s="698"/>
      <c r="D999" s="696" t="s">
        <v>33</v>
      </c>
      <c r="E999" s="698"/>
      <c r="F999" s="696" t="str">
        <f>+A999</f>
        <v>(นางสาววรรณา  ผลบุญ)</v>
      </c>
      <c r="G999" s="698"/>
    </row>
    <row r="1000" spans="1:7" ht="18.75">
      <c r="A1000" s="696" t="s">
        <v>352</v>
      </c>
      <c r="B1000" s="697"/>
      <c r="C1000" s="698"/>
      <c r="D1000" s="696" t="s">
        <v>389</v>
      </c>
      <c r="E1000" s="698"/>
      <c r="F1000" s="696" t="str">
        <f>+A1000</f>
        <v>เจ้าพนักงานการเงินและบัญชี</v>
      </c>
      <c r="G1000" s="698"/>
    </row>
    <row r="1001" spans="1:7" ht="18.75">
      <c r="A1001" s="507"/>
      <c r="B1001" s="520"/>
      <c r="C1001" s="508"/>
      <c r="D1001" s="687" t="s">
        <v>36</v>
      </c>
      <c r="E1001" s="688"/>
      <c r="F1001" s="250"/>
      <c r="G1001" s="508"/>
    </row>
    <row r="1002" spans="5:7" ht="18.75">
      <c r="E1002" s="173"/>
      <c r="F1002" s="3"/>
      <c r="G1002" s="118" t="s">
        <v>609</v>
      </c>
    </row>
    <row r="1003" spans="5:7" ht="18.75">
      <c r="E1003" s="173"/>
      <c r="F1003" s="3"/>
      <c r="G1003" s="118" t="s">
        <v>607</v>
      </c>
    </row>
    <row r="1004" spans="1:7" ht="18.75">
      <c r="A1004" s="700" t="s">
        <v>153</v>
      </c>
      <c r="B1004" s="700"/>
      <c r="C1004" s="700"/>
      <c r="D1004" s="700"/>
      <c r="E1004" s="700"/>
      <c r="F1004" s="700"/>
      <c r="G1004" s="700"/>
    </row>
    <row r="1005" spans="1:6" ht="18.75">
      <c r="A1005" s="4" t="s">
        <v>138</v>
      </c>
      <c r="E1005" s="173"/>
      <c r="F1005" s="3"/>
    </row>
    <row r="1006" spans="1:7" ht="18.75">
      <c r="A1006" s="517" t="s">
        <v>0</v>
      </c>
      <c r="B1006" s="518"/>
      <c r="C1006" s="518"/>
      <c r="D1006" s="518"/>
      <c r="E1006" s="444" t="s">
        <v>139</v>
      </c>
      <c r="F1006" s="248" t="s">
        <v>40</v>
      </c>
      <c r="G1006" s="444" t="s">
        <v>1</v>
      </c>
    </row>
    <row r="1007" spans="1:8" ht="18.75">
      <c r="A1007" s="144" t="s">
        <v>15</v>
      </c>
      <c r="B1007" s="510"/>
      <c r="C1007" s="510"/>
      <c r="D1007" s="510"/>
      <c r="E1007" s="511">
        <v>300000</v>
      </c>
      <c r="F1007" s="135">
        <v>268.34</v>
      </c>
      <c r="G1007" s="135"/>
      <c r="H1007" s="2">
        <f>140.48+76.8+140.5</f>
        <v>357.78</v>
      </c>
    </row>
    <row r="1008" spans="1:7" ht="18.75">
      <c r="A1008" s="136" t="s">
        <v>610</v>
      </c>
      <c r="B1008" s="519"/>
      <c r="C1008" s="519"/>
      <c r="D1008" s="519"/>
      <c r="E1008" s="511">
        <v>320000</v>
      </c>
      <c r="F1008" s="137">
        <v>89.44</v>
      </c>
      <c r="G1008" s="137"/>
    </row>
    <row r="1009" spans="1:7" ht="18.75">
      <c r="A1009" s="136"/>
      <c r="B1009" s="124" t="s">
        <v>57</v>
      </c>
      <c r="E1009" s="511">
        <v>300000</v>
      </c>
      <c r="F1009" s="125"/>
      <c r="G1009" s="125">
        <f>SUM(F1007:F1008)</f>
        <v>357.78</v>
      </c>
    </row>
    <row r="1010" spans="1:7" ht="18.75">
      <c r="A1010" s="138"/>
      <c r="B1010" s="124"/>
      <c r="E1010" s="146"/>
      <c r="F1010" s="125"/>
      <c r="G1010" s="125"/>
    </row>
    <row r="1011" spans="1:7" ht="18.75">
      <c r="A1011" s="138"/>
      <c r="B1011" s="124"/>
      <c r="E1011" s="146"/>
      <c r="F1011" s="125"/>
      <c r="G1011" s="125"/>
    </row>
    <row r="1012" spans="1:7" ht="18.75">
      <c r="A1012" s="138"/>
      <c r="B1012" s="124"/>
      <c r="E1012" s="146"/>
      <c r="F1012" s="125"/>
      <c r="G1012" s="125"/>
    </row>
    <row r="1013" spans="1:7" ht="18.75">
      <c r="A1013" s="123"/>
      <c r="B1013" s="124"/>
      <c r="E1013" s="146"/>
      <c r="F1013" s="125"/>
      <c r="G1013" s="125"/>
    </row>
    <row r="1014" spans="1:7" ht="18.75">
      <c r="A1014" s="123"/>
      <c r="B1014" s="124"/>
      <c r="E1014" s="146"/>
      <c r="F1014" s="125"/>
      <c r="G1014" s="125"/>
    </row>
    <row r="1015" spans="1:7" ht="18.75">
      <c r="A1015" s="123"/>
      <c r="B1015" s="124"/>
      <c r="E1015" s="146"/>
      <c r="F1015" s="125"/>
      <c r="G1015" s="125"/>
    </row>
    <row r="1016" spans="1:7" ht="18.75">
      <c r="A1016" s="123"/>
      <c r="B1016" s="124"/>
      <c r="E1016" s="146"/>
      <c r="F1016" s="125"/>
      <c r="G1016" s="125"/>
    </row>
    <row r="1017" spans="1:7" ht="18.75">
      <c r="A1017" s="123"/>
      <c r="B1017" s="124"/>
      <c r="E1017" s="146"/>
      <c r="F1017" s="125"/>
      <c r="G1017" s="125"/>
    </row>
    <row r="1018" spans="1:7" ht="18.75">
      <c r="A1018" s="123"/>
      <c r="B1018" s="124"/>
      <c r="E1018" s="146"/>
      <c r="F1018" s="125"/>
      <c r="G1018" s="125"/>
    </row>
    <row r="1019" spans="1:7" ht="18.75">
      <c r="A1019" s="123"/>
      <c r="B1019" s="124"/>
      <c r="E1019" s="146"/>
      <c r="F1019" s="125"/>
      <c r="G1019" s="125"/>
    </row>
    <row r="1020" spans="1:7" ht="18.75">
      <c r="A1020" s="123"/>
      <c r="B1020" s="124"/>
      <c r="E1020" s="146"/>
      <c r="F1020" s="125"/>
      <c r="G1020" s="125"/>
    </row>
    <row r="1021" spans="1:7" ht="18.75">
      <c r="A1021" s="123"/>
      <c r="B1021" s="124"/>
      <c r="E1021" s="146"/>
      <c r="F1021" s="125"/>
      <c r="G1021" s="125"/>
    </row>
    <row r="1022" spans="1:7" ht="18.75">
      <c r="A1022" s="123"/>
      <c r="B1022" s="124"/>
      <c r="E1022" s="146"/>
      <c r="F1022" s="125"/>
      <c r="G1022" s="125"/>
    </row>
    <row r="1023" spans="1:7" ht="18.75">
      <c r="A1023" s="123"/>
      <c r="B1023" s="124"/>
      <c r="E1023" s="146"/>
      <c r="F1023" s="125"/>
      <c r="G1023" s="125"/>
    </row>
    <row r="1024" spans="1:7" ht="18.75">
      <c r="A1024" s="127"/>
      <c r="B1024" s="128"/>
      <c r="C1024" s="128"/>
      <c r="D1024" s="128"/>
      <c r="E1024" s="507"/>
      <c r="F1024" s="129"/>
      <c r="G1024" s="129"/>
    </row>
    <row r="1025" spans="5:7" ht="19.5" thickBot="1">
      <c r="E1025" s="173"/>
      <c r="F1025" s="130">
        <f>SUM(F1007:F1024)</f>
        <v>357.78</v>
      </c>
      <c r="G1025" s="130">
        <f>SUM(G1007:G1024)</f>
        <v>357.78</v>
      </c>
    </row>
    <row r="1026" spans="5:7" ht="19.5" thickTop="1">
      <c r="E1026" s="173"/>
      <c r="F1026" s="3"/>
      <c r="G1026" s="3"/>
    </row>
    <row r="1027" spans="1:7" ht="18.75">
      <c r="A1027" s="4" t="s">
        <v>141</v>
      </c>
      <c r="B1027" s="4" t="s">
        <v>608</v>
      </c>
      <c r="E1027" s="173"/>
      <c r="F1027" s="3"/>
      <c r="G1027" s="131"/>
    </row>
    <row r="1028" spans="1:7" ht="18.75">
      <c r="A1028" s="4" t="s">
        <v>565</v>
      </c>
      <c r="B1028" s="4"/>
      <c r="C1028" s="4"/>
      <c r="D1028" s="4"/>
      <c r="E1028" s="509"/>
      <c r="F1028" s="105"/>
      <c r="G1028" s="105"/>
    </row>
    <row r="1029" spans="1:7" ht="18.75">
      <c r="A1029" s="4"/>
      <c r="B1029" s="4"/>
      <c r="C1029" s="4"/>
      <c r="D1029" s="4"/>
      <c r="E1029" s="509"/>
      <c r="F1029" s="105"/>
      <c r="G1029" s="105"/>
    </row>
    <row r="1030" spans="1:7" ht="18.75">
      <c r="A1030" s="693" t="s">
        <v>144</v>
      </c>
      <c r="B1030" s="694"/>
      <c r="C1030" s="695"/>
      <c r="D1030" s="693" t="s">
        <v>143</v>
      </c>
      <c r="E1030" s="695"/>
      <c r="F1030" s="693" t="s">
        <v>142</v>
      </c>
      <c r="G1030" s="695"/>
    </row>
    <row r="1031" spans="1:7" ht="18.75">
      <c r="A1031" s="123"/>
      <c r="B1031" s="124"/>
      <c r="C1031" s="126"/>
      <c r="D1031" s="123"/>
      <c r="E1031" s="513"/>
      <c r="F1031" s="249"/>
      <c r="G1031" s="126"/>
    </row>
    <row r="1032" spans="1:7" ht="18.75">
      <c r="A1032" s="696" t="s">
        <v>351</v>
      </c>
      <c r="B1032" s="697"/>
      <c r="C1032" s="698"/>
      <c r="D1032" s="696" t="s">
        <v>33</v>
      </c>
      <c r="E1032" s="698"/>
      <c r="F1032" s="696" t="str">
        <f>+A1032</f>
        <v>(นางสาววรรณา  ผลบุญ)</v>
      </c>
      <c r="G1032" s="698"/>
    </row>
    <row r="1033" spans="1:7" ht="18.75">
      <c r="A1033" s="696" t="s">
        <v>570</v>
      </c>
      <c r="B1033" s="697"/>
      <c r="C1033" s="698"/>
      <c r="D1033" s="696" t="s">
        <v>389</v>
      </c>
      <c r="E1033" s="698"/>
      <c r="F1033" s="696" t="str">
        <f>+A1033</f>
        <v>นักวิชาการเงินและบัญชี</v>
      </c>
      <c r="G1033" s="698"/>
    </row>
    <row r="1034" spans="1:7" ht="18.75">
      <c r="A1034" s="507"/>
      <c r="B1034" s="520"/>
      <c r="C1034" s="508"/>
      <c r="D1034" s="687" t="s">
        <v>36</v>
      </c>
      <c r="E1034" s="688"/>
      <c r="F1034" s="250"/>
      <c r="G1034" s="508"/>
    </row>
    <row r="1035" ht="18.75">
      <c r="G1035" s="118" t="s">
        <v>566</v>
      </c>
    </row>
    <row r="1036" ht="18.75">
      <c r="G1036" s="118" t="s">
        <v>479</v>
      </c>
    </row>
    <row r="1037" spans="1:7" ht="18.75">
      <c r="A1037" s="700" t="s">
        <v>153</v>
      </c>
      <c r="B1037" s="700"/>
      <c r="C1037" s="700"/>
      <c r="D1037" s="700"/>
      <c r="E1037" s="700"/>
      <c r="F1037" s="700"/>
      <c r="G1037" s="700"/>
    </row>
    <row r="1038" ht="18.75">
      <c r="A1038" s="4" t="s">
        <v>138</v>
      </c>
    </row>
    <row r="1039" spans="1:7" ht="18.75">
      <c r="A1039" s="517" t="s">
        <v>0</v>
      </c>
      <c r="B1039" s="518"/>
      <c r="C1039" s="518"/>
      <c r="D1039" s="518"/>
      <c r="E1039" s="444" t="s">
        <v>139</v>
      </c>
      <c r="F1039" s="444" t="s">
        <v>40</v>
      </c>
      <c r="G1039" s="444" t="s">
        <v>1</v>
      </c>
    </row>
    <row r="1040" spans="1:7" ht="18.75">
      <c r="A1040" s="144" t="s">
        <v>10</v>
      </c>
      <c r="B1040" s="510"/>
      <c r="C1040" s="510"/>
      <c r="D1040" s="510"/>
      <c r="E1040" s="511">
        <v>542000</v>
      </c>
      <c r="F1040" s="135">
        <v>186000</v>
      </c>
      <c r="G1040" s="135"/>
    </row>
    <row r="1041" spans="1:7" ht="18.75">
      <c r="A1041" s="136"/>
      <c r="B1041" s="124" t="s">
        <v>14</v>
      </c>
      <c r="E1041" s="511">
        <v>210400</v>
      </c>
      <c r="F1041" s="145"/>
      <c r="G1041" s="125">
        <f>+F1040</f>
        <v>186000</v>
      </c>
    </row>
    <row r="1042" spans="1:7" ht="18.75">
      <c r="A1042" s="138"/>
      <c r="B1042" s="124"/>
      <c r="E1042" s="146"/>
      <c r="F1042" s="145"/>
      <c r="G1042" s="125"/>
    </row>
    <row r="1043" spans="1:7" ht="18.75">
      <c r="A1043" s="138"/>
      <c r="B1043" s="124"/>
      <c r="E1043" s="145"/>
      <c r="F1043" s="145"/>
      <c r="G1043" s="125"/>
    </row>
    <row r="1044" spans="1:7" ht="18.75">
      <c r="A1044" s="138"/>
      <c r="B1044" s="124"/>
      <c r="E1044" s="145"/>
      <c r="F1044" s="145"/>
      <c r="G1044" s="125"/>
    </row>
    <row r="1045" spans="1:7" ht="18.75">
      <c r="A1045" s="123"/>
      <c r="B1045" s="124"/>
      <c r="E1045" s="145"/>
      <c r="F1045" s="145"/>
      <c r="G1045" s="125"/>
    </row>
    <row r="1046" spans="1:7" ht="18.75">
      <c r="A1046" s="123"/>
      <c r="B1046" s="124"/>
      <c r="E1046" s="145"/>
      <c r="F1046" s="145"/>
      <c r="G1046" s="125"/>
    </row>
    <row r="1047" spans="1:7" ht="18.75">
      <c r="A1047" s="123"/>
      <c r="B1047" s="124"/>
      <c r="E1047" s="145"/>
      <c r="F1047" s="145"/>
      <c r="G1047" s="125"/>
    </row>
    <row r="1048" spans="1:7" ht="18.75">
      <c r="A1048" s="123"/>
      <c r="B1048" s="124"/>
      <c r="E1048" s="145"/>
      <c r="F1048" s="145"/>
      <c r="G1048" s="125"/>
    </row>
    <row r="1049" spans="1:7" ht="18.75">
      <c r="A1049" s="123"/>
      <c r="B1049" s="124"/>
      <c r="E1049" s="145"/>
      <c r="F1049" s="145"/>
      <c r="G1049" s="125"/>
    </row>
    <row r="1050" spans="1:7" ht="18.75">
      <c r="A1050" s="123"/>
      <c r="B1050" s="124"/>
      <c r="E1050" s="145"/>
      <c r="F1050" s="145"/>
      <c r="G1050" s="125"/>
    </row>
    <row r="1051" spans="1:7" ht="18.75">
      <c r="A1051" s="123"/>
      <c r="B1051" s="124"/>
      <c r="E1051" s="145"/>
      <c r="F1051" s="145"/>
      <c r="G1051" s="125"/>
    </row>
    <row r="1052" spans="1:7" ht="18.75">
      <c r="A1052" s="123"/>
      <c r="B1052" s="124"/>
      <c r="E1052" s="145"/>
      <c r="F1052" s="145"/>
      <c r="G1052" s="125"/>
    </row>
    <row r="1053" spans="1:7" ht="18.75">
      <c r="A1053" s="123"/>
      <c r="B1053" s="124"/>
      <c r="E1053" s="145"/>
      <c r="F1053" s="145"/>
      <c r="G1053" s="125"/>
    </row>
    <row r="1054" spans="1:7" ht="18.75">
      <c r="A1054" s="123"/>
      <c r="B1054" s="124"/>
      <c r="E1054" s="145"/>
      <c r="F1054" s="145"/>
      <c r="G1054" s="125"/>
    </row>
    <row r="1055" spans="1:7" ht="18.75">
      <c r="A1055" s="123"/>
      <c r="B1055" s="124"/>
      <c r="E1055" s="145"/>
      <c r="F1055" s="145"/>
      <c r="G1055" s="125"/>
    </row>
    <row r="1056" spans="1:7" ht="18.75">
      <c r="A1056" s="127"/>
      <c r="B1056" s="128"/>
      <c r="C1056" s="128"/>
      <c r="D1056" s="128"/>
      <c r="E1056" s="127"/>
      <c r="F1056" s="129"/>
      <c r="G1056" s="129"/>
    </row>
    <row r="1057" spans="6:7" ht="19.5" thickBot="1">
      <c r="F1057" s="130">
        <f>SUM(F1040:F1056)</f>
        <v>186000</v>
      </c>
      <c r="G1057" s="130">
        <f>SUM(G1040:G1056)</f>
        <v>186000</v>
      </c>
    </row>
    <row r="1058" spans="6:7" ht="19.5" thickTop="1">
      <c r="F1058" s="3"/>
      <c r="G1058" s="3"/>
    </row>
    <row r="1059" spans="1:7" ht="18.75">
      <c r="A1059" s="4" t="s">
        <v>141</v>
      </c>
      <c r="B1059" s="4" t="s">
        <v>501</v>
      </c>
      <c r="E1059" s="173"/>
      <c r="F1059" s="3"/>
      <c r="G1059" s="131"/>
    </row>
    <row r="1060" spans="2:7" ht="18.75">
      <c r="B1060" s="4" t="s">
        <v>568</v>
      </c>
      <c r="E1060" s="173"/>
      <c r="F1060" s="3"/>
      <c r="G1060" s="3"/>
    </row>
    <row r="1061" spans="1:7" ht="18.75">
      <c r="A1061" s="4"/>
      <c r="B1061" s="4" t="s">
        <v>567</v>
      </c>
      <c r="F1061" s="3"/>
      <c r="G1061" s="3"/>
    </row>
    <row r="1062" spans="1:7" ht="18.75">
      <c r="A1062" s="693" t="s">
        <v>144</v>
      </c>
      <c r="B1062" s="694"/>
      <c r="C1062" s="695"/>
      <c r="D1062" s="692" t="s">
        <v>143</v>
      </c>
      <c r="E1062" s="692"/>
      <c r="F1062" s="692" t="s">
        <v>142</v>
      </c>
      <c r="G1062" s="692"/>
    </row>
    <row r="1063" spans="1:7" ht="18.75">
      <c r="A1063" s="123"/>
      <c r="B1063" s="124"/>
      <c r="C1063" s="126"/>
      <c r="D1063" s="123"/>
      <c r="E1063" s="126"/>
      <c r="F1063" s="123"/>
      <c r="G1063" s="126"/>
    </row>
    <row r="1064" spans="1:7" ht="18.75">
      <c r="A1064" s="696" t="s">
        <v>351</v>
      </c>
      <c r="B1064" s="697"/>
      <c r="C1064" s="698"/>
      <c r="D1064" s="696" t="s">
        <v>33</v>
      </c>
      <c r="E1064" s="698"/>
      <c r="F1064" s="696" t="str">
        <f>+A1064</f>
        <v>(นางสาววรรณา  ผลบุญ)</v>
      </c>
      <c r="G1064" s="698"/>
    </row>
    <row r="1065" spans="1:7" ht="18.75">
      <c r="A1065" s="696" t="s">
        <v>352</v>
      </c>
      <c r="B1065" s="697"/>
      <c r="C1065" s="698"/>
      <c r="D1065" s="696" t="s">
        <v>389</v>
      </c>
      <c r="E1065" s="698"/>
      <c r="F1065" s="696" t="str">
        <f>+A1065</f>
        <v>เจ้าพนักงานการเงินและบัญชี</v>
      </c>
      <c r="G1065" s="698"/>
    </row>
    <row r="1066" spans="1:7" ht="18.75">
      <c r="A1066" s="127"/>
      <c r="B1066" s="128"/>
      <c r="C1066" s="133"/>
      <c r="D1066" s="687" t="s">
        <v>36</v>
      </c>
      <c r="E1066" s="688"/>
      <c r="F1066" s="127"/>
      <c r="G1066" s="133"/>
    </row>
    <row r="1067" ht="18.75">
      <c r="G1067" s="118" t="s">
        <v>566</v>
      </c>
    </row>
    <row r="1068" ht="18.75">
      <c r="G1068" s="118" t="s">
        <v>479</v>
      </c>
    </row>
    <row r="1069" spans="1:7" ht="18.75">
      <c r="A1069" s="700" t="s">
        <v>153</v>
      </c>
      <c r="B1069" s="700"/>
      <c r="C1069" s="700"/>
      <c r="D1069" s="700"/>
      <c r="E1069" s="700"/>
      <c r="F1069" s="700"/>
      <c r="G1069" s="700"/>
    </row>
    <row r="1070" ht="18.75">
      <c r="A1070" s="4" t="s">
        <v>138</v>
      </c>
    </row>
    <row r="1071" spans="1:7" ht="18.75">
      <c r="A1071" s="517" t="s">
        <v>0</v>
      </c>
      <c r="B1071" s="518"/>
      <c r="C1071" s="518"/>
      <c r="D1071" s="518"/>
      <c r="E1071" s="444" t="s">
        <v>139</v>
      </c>
      <c r="F1071" s="444" t="s">
        <v>40</v>
      </c>
      <c r="G1071" s="444" t="s">
        <v>1</v>
      </c>
    </row>
    <row r="1072" spans="1:7" ht="18.75">
      <c r="A1072" s="144" t="s">
        <v>10</v>
      </c>
      <c r="B1072" s="510"/>
      <c r="C1072" s="510"/>
      <c r="D1072" s="510"/>
      <c r="E1072" s="511">
        <v>542000</v>
      </c>
      <c r="F1072" s="135">
        <v>186000</v>
      </c>
      <c r="G1072" s="135"/>
    </row>
    <row r="1073" spans="1:7" ht="18.75">
      <c r="A1073" s="136"/>
      <c r="B1073" s="124" t="s">
        <v>14</v>
      </c>
      <c r="E1073" s="511">
        <v>210400</v>
      </c>
      <c r="F1073" s="145"/>
      <c r="G1073" s="125">
        <f>+F1072</f>
        <v>186000</v>
      </c>
    </row>
    <row r="1074" spans="1:7" ht="18.75">
      <c r="A1074" s="138"/>
      <c r="B1074" s="124"/>
      <c r="E1074" s="146"/>
      <c r="F1074" s="145"/>
      <c r="G1074" s="125"/>
    </row>
    <row r="1075" spans="1:7" ht="18.75">
      <c r="A1075" s="138"/>
      <c r="B1075" s="124"/>
      <c r="E1075" s="145"/>
      <c r="F1075" s="145"/>
      <c r="G1075" s="125"/>
    </row>
    <row r="1076" spans="1:7" ht="18.75">
      <c r="A1076" s="138"/>
      <c r="B1076" s="124"/>
      <c r="E1076" s="145"/>
      <c r="F1076" s="145"/>
      <c r="G1076" s="125"/>
    </row>
    <row r="1077" spans="1:7" ht="18.75">
      <c r="A1077" s="123"/>
      <c r="B1077" s="124"/>
      <c r="E1077" s="145"/>
      <c r="F1077" s="145"/>
      <c r="G1077" s="125"/>
    </row>
    <row r="1078" spans="1:7" ht="18.75">
      <c r="A1078" s="123"/>
      <c r="B1078" s="124"/>
      <c r="E1078" s="145"/>
      <c r="F1078" s="145"/>
      <c r="G1078" s="125"/>
    </row>
    <row r="1079" spans="1:7" ht="18.75">
      <c r="A1079" s="123"/>
      <c r="B1079" s="124"/>
      <c r="E1079" s="145"/>
      <c r="F1079" s="145"/>
      <c r="G1079" s="125"/>
    </row>
    <row r="1080" spans="1:7" ht="18.75">
      <c r="A1080" s="123"/>
      <c r="B1080" s="124"/>
      <c r="E1080" s="145"/>
      <c r="F1080" s="145"/>
      <c r="G1080" s="125"/>
    </row>
    <row r="1081" spans="1:7" ht="18.75">
      <c r="A1081" s="123"/>
      <c r="B1081" s="124"/>
      <c r="E1081" s="145"/>
      <c r="F1081" s="145"/>
      <c r="G1081" s="125"/>
    </row>
    <row r="1082" spans="1:7" ht="18.75">
      <c r="A1082" s="123"/>
      <c r="B1082" s="124"/>
      <c r="E1082" s="145"/>
      <c r="F1082" s="145"/>
      <c r="G1082" s="125"/>
    </row>
    <row r="1083" spans="1:7" ht="18.75">
      <c r="A1083" s="123"/>
      <c r="B1083" s="124"/>
      <c r="E1083" s="145"/>
      <c r="F1083" s="145"/>
      <c r="G1083" s="125"/>
    </row>
    <row r="1084" spans="1:7" ht="18.75">
      <c r="A1084" s="123"/>
      <c r="B1084" s="124"/>
      <c r="E1084" s="145"/>
      <c r="F1084" s="145"/>
      <c r="G1084" s="125"/>
    </row>
    <row r="1085" spans="1:7" ht="18.75">
      <c r="A1085" s="123"/>
      <c r="B1085" s="124"/>
      <c r="E1085" s="145"/>
      <c r="F1085" s="145"/>
      <c r="G1085" s="125"/>
    </row>
    <row r="1086" spans="1:7" ht="18.75">
      <c r="A1086" s="123"/>
      <c r="B1086" s="124"/>
      <c r="E1086" s="145"/>
      <c r="F1086" s="145"/>
      <c r="G1086" s="125"/>
    </row>
    <row r="1087" spans="1:7" ht="18.75">
      <c r="A1087" s="123"/>
      <c r="B1087" s="124"/>
      <c r="E1087" s="145"/>
      <c r="F1087" s="145"/>
      <c r="G1087" s="125"/>
    </row>
    <row r="1088" spans="1:7" ht="18.75">
      <c r="A1088" s="127"/>
      <c r="B1088" s="128"/>
      <c r="C1088" s="128"/>
      <c r="D1088" s="128"/>
      <c r="E1088" s="127"/>
      <c r="F1088" s="129"/>
      <c r="G1088" s="129"/>
    </row>
    <row r="1089" spans="6:7" ht="19.5" thickBot="1">
      <c r="F1089" s="130">
        <f>SUM(F1072:F1088)</f>
        <v>186000</v>
      </c>
      <c r="G1089" s="130">
        <f>SUM(G1072:G1088)</f>
        <v>186000</v>
      </c>
    </row>
    <row r="1090" spans="6:7" ht="19.5" thickTop="1">
      <c r="F1090" s="3"/>
      <c r="G1090" s="3"/>
    </row>
    <row r="1091" spans="1:7" ht="18.75">
      <c r="A1091" s="4" t="s">
        <v>141</v>
      </c>
      <c r="B1091" s="4" t="s">
        <v>501</v>
      </c>
      <c r="E1091" s="173"/>
      <c r="F1091" s="3"/>
      <c r="G1091" s="131"/>
    </row>
    <row r="1092" spans="2:7" ht="18.75">
      <c r="B1092" s="4" t="s">
        <v>568</v>
      </c>
      <c r="E1092" s="173"/>
      <c r="F1092" s="3"/>
      <c r="G1092" s="3"/>
    </row>
    <row r="1093" spans="1:7" ht="18.75">
      <c r="A1093" s="4"/>
      <c r="B1093" s="4" t="s">
        <v>567</v>
      </c>
      <c r="F1093" s="3"/>
      <c r="G1093" s="3"/>
    </row>
    <row r="1094" spans="1:7" ht="18.75">
      <c r="A1094" s="693" t="s">
        <v>144</v>
      </c>
      <c r="B1094" s="694"/>
      <c r="C1094" s="695"/>
      <c r="D1094" s="692" t="s">
        <v>143</v>
      </c>
      <c r="E1094" s="692"/>
      <c r="F1094" s="692" t="s">
        <v>142</v>
      </c>
      <c r="G1094" s="692"/>
    </row>
    <row r="1095" spans="1:7" ht="18.75">
      <c r="A1095" s="123"/>
      <c r="B1095" s="124"/>
      <c r="C1095" s="126"/>
      <c r="D1095" s="123"/>
      <c r="E1095" s="126"/>
      <c r="F1095" s="123"/>
      <c r="G1095" s="126"/>
    </row>
    <row r="1096" spans="1:7" ht="18.75">
      <c r="A1096" s="696" t="s">
        <v>351</v>
      </c>
      <c r="B1096" s="697"/>
      <c r="C1096" s="698"/>
      <c r="D1096" s="696" t="s">
        <v>33</v>
      </c>
      <c r="E1096" s="698"/>
      <c r="F1096" s="696" t="str">
        <f>+A1096</f>
        <v>(นางสาววรรณา  ผลบุญ)</v>
      </c>
      <c r="G1096" s="698"/>
    </row>
    <row r="1097" spans="1:7" ht="18.75">
      <c r="A1097" s="696" t="s">
        <v>352</v>
      </c>
      <c r="B1097" s="697"/>
      <c r="C1097" s="698"/>
      <c r="D1097" s="696" t="s">
        <v>389</v>
      </c>
      <c r="E1097" s="698"/>
      <c r="F1097" s="696" t="str">
        <f>+A1097</f>
        <v>เจ้าพนักงานการเงินและบัญชี</v>
      </c>
      <c r="G1097" s="698"/>
    </row>
    <row r="1098" spans="1:7" ht="18.75">
      <c r="A1098" s="127"/>
      <c r="B1098" s="128"/>
      <c r="C1098" s="133"/>
      <c r="D1098" s="687" t="s">
        <v>36</v>
      </c>
      <c r="E1098" s="688"/>
      <c r="F1098" s="127"/>
      <c r="G1098" s="133"/>
    </row>
    <row r="1099" ht="18.75">
      <c r="G1099" s="118" t="s">
        <v>581</v>
      </c>
    </row>
    <row r="1100" ht="18.75">
      <c r="G1100" s="118" t="s">
        <v>579</v>
      </c>
    </row>
    <row r="1101" spans="1:7" ht="18.75">
      <c r="A1101" s="700" t="s">
        <v>153</v>
      </c>
      <c r="B1101" s="700"/>
      <c r="C1101" s="700"/>
      <c r="D1101" s="700"/>
      <c r="E1101" s="700"/>
      <c r="F1101" s="700"/>
      <c r="G1101" s="700"/>
    </row>
    <row r="1102" ht="18.75">
      <c r="A1102" s="4" t="s">
        <v>138</v>
      </c>
    </row>
    <row r="1103" spans="1:7" ht="18.75">
      <c r="A1103" s="689" t="s">
        <v>0</v>
      </c>
      <c r="B1103" s="690"/>
      <c r="C1103" s="690"/>
      <c r="D1103" s="690"/>
      <c r="E1103" s="444" t="s">
        <v>139</v>
      </c>
      <c r="F1103" s="444" t="s">
        <v>40</v>
      </c>
      <c r="G1103" s="444" t="s">
        <v>1</v>
      </c>
    </row>
    <row r="1104" spans="1:7" ht="18.75">
      <c r="A1104" s="123" t="s">
        <v>582</v>
      </c>
      <c r="B1104" s="120"/>
      <c r="C1104" s="120"/>
      <c r="D1104" s="120"/>
      <c r="E1104" s="511">
        <v>110201</v>
      </c>
      <c r="F1104" s="122">
        <v>10000000</v>
      </c>
      <c r="G1104" s="122"/>
    </row>
    <row r="1105" spans="1:7" ht="18.75">
      <c r="A1105" s="123"/>
      <c r="B1105" s="124" t="s">
        <v>326</v>
      </c>
      <c r="C1105" s="124"/>
      <c r="D1105" s="124"/>
      <c r="E1105" s="511">
        <v>110201</v>
      </c>
      <c r="F1105" s="125"/>
      <c r="G1105" s="125">
        <f>+F1104</f>
        <v>10000000</v>
      </c>
    </row>
    <row r="1106" spans="1:7" ht="18.75">
      <c r="A1106" s="123"/>
      <c r="B1106" s="124"/>
      <c r="C1106" s="124"/>
      <c r="D1106" s="126"/>
      <c r="F1106" s="511"/>
      <c r="G1106" s="125"/>
    </row>
    <row r="1107" spans="1:7" ht="18.75">
      <c r="A1107" s="123"/>
      <c r="B1107" s="124"/>
      <c r="C1107" s="124"/>
      <c r="D1107" s="124"/>
      <c r="E1107" s="511"/>
      <c r="F1107" s="125"/>
      <c r="G1107" s="125"/>
    </row>
    <row r="1108" spans="1:7" ht="18.75">
      <c r="A1108" s="123"/>
      <c r="B1108" s="124"/>
      <c r="C1108" s="124"/>
      <c r="D1108" s="124"/>
      <c r="E1108" s="511"/>
      <c r="F1108" s="125"/>
      <c r="G1108" s="145"/>
    </row>
    <row r="1109" spans="1:7" ht="18.75">
      <c r="A1109" s="123"/>
      <c r="B1109" s="124"/>
      <c r="C1109" s="124"/>
      <c r="D1109" s="124"/>
      <c r="E1109" s="511"/>
      <c r="F1109" s="125"/>
      <c r="G1109" s="125"/>
    </row>
    <row r="1110" spans="1:7" ht="18.75">
      <c r="A1110" s="123"/>
      <c r="B1110" s="124"/>
      <c r="C1110" s="124"/>
      <c r="D1110" s="124"/>
      <c r="E1110" s="511"/>
      <c r="F1110" s="125"/>
      <c r="G1110" s="125"/>
    </row>
    <row r="1111" spans="1:7" ht="18.75">
      <c r="A1111" s="123"/>
      <c r="B1111" s="124"/>
      <c r="C1111" s="124"/>
      <c r="D1111" s="124"/>
      <c r="E1111" s="511"/>
      <c r="F1111" s="125"/>
      <c r="G1111" s="125"/>
    </row>
    <row r="1112" spans="1:7" ht="18.75">
      <c r="A1112" s="123"/>
      <c r="B1112" s="124"/>
      <c r="C1112" s="124"/>
      <c r="D1112" s="124"/>
      <c r="E1112" s="511"/>
      <c r="F1112" s="125"/>
      <c r="G1112" s="125"/>
    </row>
    <row r="1113" spans="1:7" ht="18.75">
      <c r="A1113" s="123"/>
      <c r="B1113" s="124"/>
      <c r="C1113" s="124"/>
      <c r="D1113" s="124"/>
      <c r="E1113" s="511"/>
      <c r="F1113" s="125"/>
      <c r="G1113" s="125"/>
    </row>
    <row r="1114" spans="1:7" ht="18.75">
      <c r="A1114" s="123"/>
      <c r="B1114" s="124"/>
      <c r="C1114" s="124"/>
      <c r="D1114" s="124"/>
      <c r="E1114" s="511"/>
      <c r="F1114" s="125"/>
      <c r="G1114" s="125"/>
    </row>
    <row r="1115" spans="1:7" ht="18.75">
      <c r="A1115" s="123"/>
      <c r="B1115" s="124"/>
      <c r="C1115" s="124"/>
      <c r="D1115" s="124"/>
      <c r="E1115" s="511"/>
      <c r="F1115" s="125"/>
      <c r="G1115" s="125"/>
    </row>
    <row r="1116" spans="1:7" ht="18.75">
      <c r="A1116" s="123"/>
      <c r="B1116" s="124"/>
      <c r="C1116" s="124"/>
      <c r="D1116" s="124"/>
      <c r="E1116" s="511"/>
      <c r="F1116" s="125"/>
      <c r="G1116" s="125"/>
    </row>
    <row r="1117" spans="1:7" ht="18.75">
      <c r="A1117" s="123"/>
      <c r="B1117" s="124"/>
      <c r="C1117" s="124"/>
      <c r="D1117" s="124"/>
      <c r="E1117" s="511"/>
      <c r="F1117" s="125"/>
      <c r="G1117" s="125"/>
    </row>
    <row r="1118" spans="1:7" ht="18.75">
      <c r="A1118" s="123"/>
      <c r="B1118" s="124"/>
      <c r="C1118" s="124"/>
      <c r="D1118" s="124"/>
      <c r="E1118" s="123"/>
      <c r="F1118" s="125"/>
      <c r="G1118" s="125"/>
    </row>
    <row r="1119" spans="1:7" ht="18.75">
      <c r="A1119" s="123"/>
      <c r="B1119" s="124"/>
      <c r="C1119" s="124"/>
      <c r="D1119" s="124"/>
      <c r="E1119" s="123"/>
      <c r="F1119" s="125"/>
      <c r="G1119" s="125"/>
    </row>
    <row r="1120" spans="1:7" ht="18.75">
      <c r="A1120" s="123"/>
      <c r="B1120" s="124"/>
      <c r="C1120" s="124"/>
      <c r="D1120" s="124"/>
      <c r="E1120" s="123"/>
      <c r="F1120" s="125"/>
      <c r="G1120" s="125"/>
    </row>
    <row r="1121" spans="1:7" ht="18.75">
      <c r="A1121" s="123"/>
      <c r="B1121" s="124"/>
      <c r="C1121" s="124"/>
      <c r="D1121" s="124"/>
      <c r="E1121" s="123"/>
      <c r="F1121" s="125"/>
      <c r="G1121" s="125"/>
    </row>
    <row r="1122" spans="1:7" ht="18.75">
      <c r="A1122" s="123"/>
      <c r="B1122" s="124"/>
      <c r="C1122" s="124"/>
      <c r="D1122" s="124"/>
      <c r="E1122" s="123"/>
      <c r="F1122" s="125"/>
      <c r="G1122" s="125"/>
    </row>
    <row r="1123" spans="1:7" ht="18.75">
      <c r="A1123" s="127"/>
      <c r="B1123" s="128"/>
      <c r="C1123" s="128"/>
      <c r="D1123" s="128"/>
      <c r="E1123" s="127"/>
      <c r="F1123" s="129"/>
      <c r="G1123" s="129"/>
    </row>
    <row r="1124" spans="6:7" ht="19.5" thickBot="1">
      <c r="F1124" s="130">
        <f>SUM(F1104:F1123)</f>
        <v>10000000</v>
      </c>
      <c r="G1124" s="130">
        <f>SUM(G1104:G1123)</f>
        <v>10000000</v>
      </c>
    </row>
    <row r="1125" spans="6:7" ht="19.5" thickTop="1">
      <c r="F1125" s="3"/>
      <c r="G1125" s="3"/>
    </row>
    <row r="1126" spans="1:7" ht="18.75">
      <c r="A1126" s="4" t="s">
        <v>141</v>
      </c>
      <c r="B1126" s="4" t="s">
        <v>583</v>
      </c>
      <c r="F1126" s="3"/>
      <c r="G1126" s="131"/>
    </row>
    <row r="1127" spans="1:7" ht="18.75">
      <c r="A1127" s="4" t="s">
        <v>584</v>
      </c>
      <c r="F1127" s="3"/>
      <c r="G1127" s="3"/>
    </row>
    <row r="1128" spans="1:7" ht="18.75">
      <c r="A1128" s="693" t="s">
        <v>144</v>
      </c>
      <c r="B1128" s="694"/>
      <c r="C1128" s="695"/>
      <c r="D1128" s="692" t="s">
        <v>143</v>
      </c>
      <c r="E1128" s="692"/>
      <c r="F1128" s="692" t="s">
        <v>142</v>
      </c>
      <c r="G1128" s="692"/>
    </row>
    <row r="1129" spans="1:7" ht="18.75">
      <c r="A1129" s="132"/>
      <c r="B1129" s="519"/>
      <c r="C1129" s="523"/>
      <c r="D1129" s="132"/>
      <c r="E1129" s="523"/>
      <c r="F1129" s="132"/>
      <c r="G1129" s="523"/>
    </row>
    <row r="1130" spans="1:7" ht="18.75">
      <c r="A1130" s="132"/>
      <c r="B1130" s="519"/>
      <c r="C1130" s="523"/>
      <c r="D1130" s="132"/>
      <c r="E1130" s="523"/>
      <c r="F1130" s="132"/>
      <c r="G1130" s="523"/>
    </row>
    <row r="1131" spans="1:7" ht="18.75">
      <c r="A1131" s="696" t="s">
        <v>351</v>
      </c>
      <c r="B1131" s="697"/>
      <c r="C1131" s="698"/>
      <c r="D1131" s="696" t="s">
        <v>33</v>
      </c>
      <c r="E1131" s="698"/>
      <c r="F1131" s="696" t="str">
        <f>+A1131</f>
        <v>(นางสาววรรณา  ผลบุญ)</v>
      </c>
      <c r="G1131" s="698"/>
    </row>
    <row r="1132" spans="1:7" ht="18.75">
      <c r="A1132" s="696" t="s">
        <v>570</v>
      </c>
      <c r="B1132" s="697"/>
      <c r="C1132" s="698"/>
      <c r="D1132" s="696" t="s">
        <v>389</v>
      </c>
      <c r="E1132" s="698"/>
      <c r="F1132" s="696" t="str">
        <f>+A1132</f>
        <v>นักวิชาการเงินและบัญชี</v>
      </c>
      <c r="G1132" s="698"/>
    </row>
    <row r="1133" spans="1:7" ht="18.75">
      <c r="A1133" s="127"/>
      <c r="B1133" s="128"/>
      <c r="C1133" s="133"/>
      <c r="D1133" s="687" t="s">
        <v>36</v>
      </c>
      <c r="E1133" s="688"/>
      <c r="F1133" s="127"/>
      <c r="G1133" s="133"/>
    </row>
    <row r="1134" ht="18.75">
      <c r="G1134" s="118" t="s">
        <v>580</v>
      </c>
    </row>
    <row r="1135" ht="18.75">
      <c r="G1135" s="118" t="s">
        <v>569</v>
      </c>
    </row>
    <row r="1136" spans="1:7" ht="18.75">
      <c r="A1136" s="700" t="s">
        <v>153</v>
      </c>
      <c r="B1136" s="700"/>
      <c r="C1136" s="700"/>
      <c r="D1136" s="700"/>
      <c r="E1136" s="700"/>
      <c r="F1136" s="700"/>
      <c r="G1136" s="700"/>
    </row>
    <row r="1137" ht="18.75">
      <c r="A1137" s="4" t="s">
        <v>138</v>
      </c>
    </row>
    <row r="1138" spans="1:7" ht="18.75">
      <c r="A1138" s="689" t="s">
        <v>0</v>
      </c>
      <c r="B1138" s="690"/>
      <c r="C1138" s="690"/>
      <c r="D1138" s="699"/>
      <c r="E1138" s="444" t="s">
        <v>139</v>
      </c>
      <c r="F1138" s="444" t="s">
        <v>40</v>
      </c>
      <c r="G1138" s="444" t="s">
        <v>1</v>
      </c>
    </row>
    <row r="1139" spans="1:7" ht="18.75">
      <c r="A1139" s="119" t="s">
        <v>148</v>
      </c>
      <c r="B1139" s="510"/>
      <c r="C1139" s="510"/>
      <c r="D1139" s="510"/>
      <c r="E1139" s="511">
        <v>110203</v>
      </c>
      <c r="F1139" s="135">
        <f>+ใบผ่านรายการบัญชีมาตรฐาน!G1189</f>
        <v>0</v>
      </c>
      <c r="G1139" s="135"/>
    </row>
    <row r="1140" spans="1:7" ht="18.75">
      <c r="A1140" s="136"/>
      <c r="B1140" s="124" t="s">
        <v>149</v>
      </c>
      <c r="C1140" s="519"/>
      <c r="D1140" s="519"/>
      <c r="E1140" s="511">
        <v>110201</v>
      </c>
      <c r="F1140" s="125"/>
      <c r="G1140" s="137">
        <f>+F1139</f>
        <v>0</v>
      </c>
    </row>
    <row r="1141" spans="1:7" ht="18.75">
      <c r="A1141" s="138"/>
      <c r="B1141" s="519"/>
      <c r="C1141" s="519"/>
      <c r="D1141" s="519"/>
      <c r="E1141" s="511"/>
      <c r="F1141" s="125"/>
      <c r="G1141" s="139"/>
    </row>
    <row r="1142" spans="1:7" ht="18.75">
      <c r="A1142" s="123"/>
      <c r="B1142" s="519"/>
      <c r="C1142" s="519"/>
      <c r="D1142" s="519"/>
      <c r="E1142" s="511"/>
      <c r="F1142" s="125"/>
      <c r="G1142" s="139"/>
    </row>
    <row r="1143" spans="1:7" ht="18.75">
      <c r="A1143" s="123"/>
      <c r="B1143" s="519"/>
      <c r="C1143" s="519"/>
      <c r="D1143" s="519"/>
      <c r="E1143" s="511"/>
      <c r="F1143" s="125"/>
      <c r="G1143" s="139"/>
    </row>
    <row r="1144" spans="1:7" ht="18.75">
      <c r="A1144" s="123"/>
      <c r="B1144" s="519"/>
      <c r="C1144" s="519"/>
      <c r="D1144" s="519"/>
      <c r="E1144" s="511"/>
      <c r="F1144" s="125"/>
      <c r="G1144" s="139"/>
    </row>
    <row r="1145" spans="1:7" ht="18.75">
      <c r="A1145" s="138"/>
      <c r="B1145" s="519"/>
      <c r="C1145" s="519"/>
      <c r="D1145" s="519"/>
      <c r="E1145" s="511"/>
      <c r="F1145" s="125"/>
      <c r="G1145" s="139"/>
    </row>
    <row r="1146" spans="1:7" ht="18.75">
      <c r="A1146" s="138"/>
      <c r="B1146" s="124"/>
      <c r="C1146" s="124"/>
      <c r="D1146" s="124"/>
      <c r="E1146" s="511"/>
      <c r="F1146" s="125"/>
      <c r="G1146" s="125"/>
    </row>
    <row r="1147" spans="1:7" ht="18.75">
      <c r="A1147" s="123"/>
      <c r="B1147" s="124"/>
      <c r="C1147" s="124"/>
      <c r="D1147" s="124"/>
      <c r="E1147" s="511"/>
      <c r="F1147" s="125"/>
      <c r="G1147" s="125"/>
    </row>
    <row r="1148" spans="1:7" ht="18.75">
      <c r="A1148" s="123"/>
      <c r="B1148" s="124"/>
      <c r="C1148" s="124"/>
      <c r="D1148" s="124"/>
      <c r="E1148" s="511"/>
      <c r="F1148" s="125"/>
      <c r="G1148" s="125"/>
    </row>
    <row r="1149" spans="1:7" ht="18.75">
      <c r="A1149" s="123"/>
      <c r="B1149" s="124"/>
      <c r="C1149" s="124"/>
      <c r="D1149" s="124"/>
      <c r="E1149" s="511"/>
      <c r="F1149" s="125"/>
      <c r="G1149" s="125"/>
    </row>
    <row r="1150" spans="1:7" ht="18.75">
      <c r="A1150" s="123"/>
      <c r="B1150" s="124"/>
      <c r="C1150" s="124"/>
      <c r="D1150" s="124"/>
      <c r="E1150" s="511"/>
      <c r="F1150" s="125"/>
      <c r="G1150" s="125"/>
    </row>
    <row r="1151" spans="1:7" ht="18.75">
      <c r="A1151" s="138"/>
      <c r="B1151" s="124"/>
      <c r="C1151" s="124"/>
      <c r="D1151" s="124"/>
      <c r="E1151" s="511"/>
      <c r="F1151" s="125"/>
      <c r="G1151" s="125"/>
    </row>
    <row r="1152" spans="1:7" ht="18.75">
      <c r="A1152" s="123"/>
      <c r="B1152" s="124"/>
      <c r="C1152" s="124"/>
      <c r="D1152" s="124"/>
      <c r="E1152" s="511"/>
      <c r="F1152" s="125"/>
      <c r="G1152" s="125"/>
    </row>
    <row r="1153" spans="1:7" ht="18.75">
      <c r="A1153" s="123"/>
      <c r="B1153" s="124"/>
      <c r="C1153" s="124"/>
      <c r="D1153" s="124"/>
      <c r="E1153" s="511"/>
      <c r="F1153" s="125"/>
      <c r="G1153" s="125"/>
    </row>
    <row r="1154" spans="1:7" ht="18.75">
      <c r="A1154" s="123"/>
      <c r="B1154" s="124"/>
      <c r="C1154" s="124"/>
      <c r="D1154" s="124"/>
      <c r="E1154" s="511"/>
      <c r="F1154" s="125"/>
      <c r="G1154" s="125"/>
    </row>
    <row r="1155" spans="1:7" ht="18.75">
      <c r="A1155" s="123"/>
      <c r="B1155" s="124"/>
      <c r="C1155" s="124"/>
      <c r="D1155" s="124"/>
      <c r="E1155" s="511"/>
      <c r="F1155" s="125"/>
      <c r="G1155" s="125"/>
    </row>
    <row r="1156" spans="1:7" ht="18.75">
      <c r="A1156" s="123"/>
      <c r="B1156" s="124"/>
      <c r="C1156" s="124"/>
      <c r="D1156" s="124"/>
      <c r="E1156" s="511"/>
      <c r="F1156" s="125"/>
      <c r="G1156" s="125"/>
    </row>
    <row r="1157" spans="1:7" ht="18.75">
      <c r="A1157" s="123"/>
      <c r="B1157" s="124"/>
      <c r="C1157" s="124"/>
      <c r="D1157" s="124"/>
      <c r="E1157" s="511"/>
      <c r="F1157" s="125"/>
      <c r="G1157" s="125"/>
    </row>
    <row r="1158" spans="1:7" ht="18.75">
      <c r="A1158" s="123"/>
      <c r="B1158" s="124"/>
      <c r="C1158" s="124"/>
      <c r="D1158" s="124"/>
      <c r="E1158" s="511"/>
      <c r="F1158" s="125"/>
      <c r="G1158" s="125"/>
    </row>
    <row r="1159" spans="1:7" ht="18.75">
      <c r="A1159" s="123"/>
      <c r="B1159" s="124"/>
      <c r="C1159" s="124"/>
      <c r="D1159" s="124"/>
      <c r="E1159" s="511"/>
      <c r="F1159" s="125"/>
      <c r="G1159" s="125"/>
    </row>
    <row r="1160" spans="1:7" ht="18.75">
      <c r="A1160" s="127"/>
      <c r="B1160" s="128"/>
      <c r="C1160" s="128"/>
      <c r="D1160" s="128"/>
      <c r="E1160" s="140"/>
      <c r="F1160" s="129"/>
      <c r="G1160" s="129"/>
    </row>
    <row r="1161" spans="6:7" ht="19.5" thickBot="1">
      <c r="F1161" s="141">
        <f>SUM(F1139:F1160)</f>
        <v>0</v>
      </c>
      <c r="G1161" s="141">
        <f>SUM(G1139:G1160)</f>
        <v>0</v>
      </c>
    </row>
    <row r="1162" spans="6:7" ht="19.5" thickTop="1">
      <c r="F1162" s="3"/>
      <c r="G1162" s="3"/>
    </row>
    <row r="1163" spans="1:7" ht="18.75">
      <c r="A1163" s="4" t="s">
        <v>141</v>
      </c>
      <c r="B1163" s="2" t="s">
        <v>151</v>
      </c>
      <c r="F1163" s="3"/>
      <c r="G1163" s="131"/>
    </row>
    <row r="1164" spans="6:7" ht="18.75">
      <c r="F1164" s="3"/>
      <c r="G1164" s="3"/>
    </row>
    <row r="1165" spans="1:7" ht="18.75">
      <c r="A1165" s="693" t="s">
        <v>144</v>
      </c>
      <c r="B1165" s="694"/>
      <c r="C1165" s="695"/>
      <c r="D1165" s="692" t="s">
        <v>143</v>
      </c>
      <c r="E1165" s="692"/>
      <c r="F1165" s="692" t="s">
        <v>142</v>
      </c>
      <c r="G1165" s="692"/>
    </row>
    <row r="1166" spans="1:7" ht="18.75">
      <c r="A1166" s="123"/>
      <c r="B1166" s="124"/>
      <c r="C1166" s="126"/>
      <c r="D1166" s="123"/>
      <c r="E1166" s="126"/>
      <c r="F1166" s="123"/>
      <c r="G1166" s="126"/>
    </row>
    <row r="1167" spans="1:7" ht="18.75">
      <c r="A1167" s="123"/>
      <c r="B1167" s="124"/>
      <c r="C1167" s="126"/>
      <c r="D1167" s="123"/>
      <c r="E1167" s="126"/>
      <c r="F1167" s="123"/>
      <c r="G1167" s="126"/>
    </row>
    <row r="1168" spans="1:7" ht="18.75">
      <c r="A1168" s="696" t="str">
        <f>+A1131</f>
        <v>(นางสาววรรณา  ผลบุญ)</v>
      </c>
      <c r="B1168" s="697"/>
      <c r="C1168" s="698"/>
      <c r="D1168" s="696" t="str">
        <f>+D1131</f>
        <v>(นายวสันต์  ไทรแก้ว)</v>
      </c>
      <c r="E1168" s="698"/>
      <c r="F1168" s="696" t="str">
        <f>+A1168</f>
        <v>(นางสาววรรณา  ผลบุญ)</v>
      </c>
      <c r="G1168" s="698"/>
    </row>
    <row r="1169" spans="1:7" ht="18.75">
      <c r="A1169" s="696" t="str">
        <f>+A1132</f>
        <v>นักวิชาการเงินและบัญชี</v>
      </c>
      <c r="B1169" s="697"/>
      <c r="C1169" s="698"/>
      <c r="D1169" s="696" t="str">
        <f>+D1132</f>
        <v>ปลัดเทศบาล รักษาราชการแทน</v>
      </c>
      <c r="E1169" s="698"/>
      <c r="F1169" s="696" t="str">
        <f>+A1169</f>
        <v>นักวิชาการเงินและบัญชี</v>
      </c>
      <c r="G1169" s="698"/>
    </row>
    <row r="1170" spans="1:7" ht="18.75">
      <c r="A1170" s="127"/>
      <c r="B1170" s="128"/>
      <c r="C1170" s="133"/>
      <c r="D1170" s="687" t="s">
        <v>36</v>
      </c>
      <c r="E1170" s="688"/>
      <c r="F1170" s="127"/>
      <c r="G1170" s="133"/>
    </row>
    <row r="1171" spans="1:7" ht="18.75">
      <c r="A1171" s="124"/>
      <c r="B1171" s="124"/>
      <c r="C1171" s="124"/>
      <c r="D1171" s="512"/>
      <c r="E1171" s="512"/>
      <c r="F1171" s="124"/>
      <c r="G1171" s="124"/>
    </row>
  </sheetData>
  <sheetProtection/>
  <mergeCells count="397">
    <mergeCell ref="A1169:C1169"/>
    <mergeCell ref="D1169:E1169"/>
    <mergeCell ref="F1169:G1169"/>
    <mergeCell ref="D1170:E1170"/>
    <mergeCell ref="A1165:C1165"/>
    <mergeCell ref="D1165:E1165"/>
    <mergeCell ref="F1165:G1165"/>
    <mergeCell ref="A1168:C1168"/>
    <mergeCell ref="D1168:E1168"/>
    <mergeCell ref="F1168:G1168"/>
    <mergeCell ref="A1132:C1132"/>
    <mergeCell ref="D1132:E1132"/>
    <mergeCell ref="F1132:G1132"/>
    <mergeCell ref="D1133:E1133"/>
    <mergeCell ref="A1136:G1136"/>
    <mergeCell ref="A1138:D1138"/>
    <mergeCell ref="A1128:C1128"/>
    <mergeCell ref="D1128:E1128"/>
    <mergeCell ref="F1128:G1128"/>
    <mergeCell ref="A1131:C1131"/>
    <mergeCell ref="D1131:E1131"/>
    <mergeCell ref="F1131:G1131"/>
    <mergeCell ref="A1097:C1097"/>
    <mergeCell ref="D1097:E1097"/>
    <mergeCell ref="F1097:G1097"/>
    <mergeCell ref="D1098:E1098"/>
    <mergeCell ref="A1101:G1101"/>
    <mergeCell ref="A1103:D1103"/>
    <mergeCell ref="D1066:E1066"/>
    <mergeCell ref="A1069:G1069"/>
    <mergeCell ref="A1094:C1094"/>
    <mergeCell ref="D1094:E1094"/>
    <mergeCell ref="F1094:G1094"/>
    <mergeCell ref="A1096:C1096"/>
    <mergeCell ref="D1096:E1096"/>
    <mergeCell ref="F1096:G1096"/>
    <mergeCell ref="A1064:C1064"/>
    <mergeCell ref="D1064:E1064"/>
    <mergeCell ref="F1064:G1064"/>
    <mergeCell ref="A1065:C1065"/>
    <mergeCell ref="D1065:E1065"/>
    <mergeCell ref="F1065:G1065"/>
    <mergeCell ref="A1033:C1033"/>
    <mergeCell ref="D1033:E1033"/>
    <mergeCell ref="F1033:G1033"/>
    <mergeCell ref="D1034:E1034"/>
    <mergeCell ref="A1037:G1037"/>
    <mergeCell ref="A1062:C1062"/>
    <mergeCell ref="D1062:E1062"/>
    <mergeCell ref="F1062:G1062"/>
    <mergeCell ref="D1001:E1001"/>
    <mergeCell ref="A1004:G1004"/>
    <mergeCell ref="A1030:C1030"/>
    <mergeCell ref="D1030:E1030"/>
    <mergeCell ref="F1030:G1030"/>
    <mergeCell ref="A1032:C1032"/>
    <mergeCell ref="D1032:E1032"/>
    <mergeCell ref="F1032:G1032"/>
    <mergeCell ref="A999:C999"/>
    <mergeCell ref="D999:E999"/>
    <mergeCell ref="F999:G999"/>
    <mergeCell ref="A1000:C1000"/>
    <mergeCell ref="D1000:E1000"/>
    <mergeCell ref="F1000:G1000"/>
    <mergeCell ref="A967:C967"/>
    <mergeCell ref="D967:E967"/>
    <mergeCell ref="F967:G967"/>
    <mergeCell ref="D968:E968"/>
    <mergeCell ref="A971:G971"/>
    <mergeCell ref="A997:C997"/>
    <mergeCell ref="D997:E997"/>
    <mergeCell ref="F997:G997"/>
    <mergeCell ref="D935:E935"/>
    <mergeCell ref="A938:G938"/>
    <mergeCell ref="A964:C964"/>
    <mergeCell ref="D964:E964"/>
    <mergeCell ref="F964:G964"/>
    <mergeCell ref="A966:C966"/>
    <mergeCell ref="D966:E966"/>
    <mergeCell ref="F966:G966"/>
    <mergeCell ref="A933:C933"/>
    <mergeCell ref="D933:E933"/>
    <mergeCell ref="F933:G933"/>
    <mergeCell ref="A934:C934"/>
    <mergeCell ref="D934:E934"/>
    <mergeCell ref="F934:G934"/>
    <mergeCell ref="A901:C901"/>
    <mergeCell ref="D901:E901"/>
    <mergeCell ref="F901:G901"/>
    <mergeCell ref="D902:E902"/>
    <mergeCell ref="A905:G905"/>
    <mergeCell ref="A931:C931"/>
    <mergeCell ref="D931:E931"/>
    <mergeCell ref="F931:G931"/>
    <mergeCell ref="D869:E869"/>
    <mergeCell ref="A872:G872"/>
    <mergeCell ref="A898:C898"/>
    <mergeCell ref="D898:E898"/>
    <mergeCell ref="F898:G898"/>
    <mergeCell ref="A900:C900"/>
    <mergeCell ref="D900:E900"/>
    <mergeCell ref="F900:G900"/>
    <mergeCell ref="A867:C867"/>
    <mergeCell ref="D867:E867"/>
    <mergeCell ref="F867:G867"/>
    <mergeCell ref="A868:C868"/>
    <mergeCell ref="D868:E868"/>
    <mergeCell ref="F868:G868"/>
    <mergeCell ref="A835:C835"/>
    <mergeCell ref="D835:E835"/>
    <mergeCell ref="F835:G835"/>
    <mergeCell ref="D836:E836"/>
    <mergeCell ref="A839:G839"/>
    <mergeCell ref="A865:C865"/>
    <mergeCell ref="D865:E865"/>
    <mergeCell ref="F865:G865"/>
    <mergeCell ref="D803:E803"/>
    <mergeCell ref="A806:G806"/>
    <mergeCell ref="A832:C832"/>
    <mergeCell ref="D832:E832"/>
    <mergeCell ref="F832:G832"/>
    <mergeCell ref="A834:C834"/>
    <mergeCell ref="D834:E834"/>
    <mergeCell ref="F834:G834"/>
    <mergeCell ref="A801:C801"/>
    <mergeCell ref="D801:E801"/>
    <mergeCell ref="F801:G801"/>
    <mergeCell ref="A802:C802"/>
    <mergeCell ref="D802:E802"/>
    <mergeCell ref="F802:G802"/>
    <mergeCell ref="A763:D763"/>
    <mergeCell ref="A764:D764"/>
    <mergeCell ref="A770:D770"/>
    <mergeCell ref="A799:C799"/>
    <mergeCell ref="D799:E799"/>
    <mergeCell ref="F799:G799"/>
    <mergeCell ref="A753:D753"/>
    <mergeCell ref="A754:D754"/>
    <mergeCell ref="A755:D755"/>
    <mergeCell ref="A756:D756"/>
    <mergeCell ref="A757:D757"/>
    <mergeCell ref="A758:D758"/>
    <mergeCell ref="A746:D746"/>
    <mergeCell ref="A747:D747"/>
    <mergeCell ref="A748:D748"/>
    <mergeCell ref="A749:D749"/>
    <mergeCell ref="A751:D751"/>
    <mergeCell ref="A752:D752"/>
    <mergeCell ref="A733:C733"/>
    <mergeCell ref="D733:E733"/>
    <mergeCell ref="F733:G733"/>
    <mergeCell ref="D734:E734"/>
    <mergeCell ref="A737:G737"/>
    <mergeCell ref="A744:D744"/>
    <mergeCell ref="D701:E701"/>
    <mergeCell ref="A704:G704"/>
    <mergeCell ref="A730:C730"/>
    <mergeCell ref="D730:E730"/>
    <mergeCell ref="F730:G730"/>
    <mergeCell ref="A732:C732"/>
    <mergeCell ref="D732:E732"/>
    <mergeCell ref="F732:G732"/>
    <mergeCell ref="A699:C699"/>
    <mergeCell ref="D699:E699"/>
    <mergeCell ref="F699:G699"/>
    <mergeCell ref="A700:C700"/>
    <mergeCell ref="D700:E700"/>
    <mergeCell ref="F700:G700"/>
    <mergeCell ref="A667:C667"/>
    <mergeCell ref="D667:E667"/>
    <mergeCell ref="F667:G667"/>
    <mergeCell ref="D668:E668"/>
    <mergeCell ref="A671:G671"/>
    <mergeCell ref="A697:C697"/>
    <mergeCell ref="D697:E697"/>
    <mergeCell ref="F697:G697"/>
    <mergeCell ref="D635:E635"/>
    <mergeCell ref="A638:G638"/>
    <mergeCell ref="A664:C664"/>
    <mergeCell ref="D664:E664"/>
    <mergeCell ref="F664:G664"/>
    <mergeCell ref="A666:C666"/>
    <mergeCell ref="D666:E666"/>
    <mergeCell ref="F666:G666"/>
    <mergeCell ref="A633:C633"/>
    <mergeCell ref="D633:E633"/>
    <mergeCell ref="F633:G633"/>
    <mergeCell ref="A634:C634"/>
    <mergeCell ref="D634:E634"/>
    <mergeCell ref="F634:G634"/>
    <mergeCell ref="A601:C601"/>
    <mergeCell ref="D601:E601"/>
    <mergeCell ref="F601:G601"/>
    <mergeCell ref="D602:E602"/>
    <mergeCell ref="A605:G605"/>
    <mergeCell ref="A631:C631"/>
    <mergeCell ref="D631:E631"/>
    <mergeCell ref="F631:G631"/>
    <mergeCell ref="D570:E570"/>
    <mergeCell ref="A573:G573"/>
    <mergeCell ref="A598:C598"/>
    <mergeCell ref="D598:E598"/>
    <mergeCell ref="F598:G598"/>
    <mergeCell ref="A600:C600"/>
    <mergeCell ref="D600:E600"/>
    <mergeCell ref="F600:G600"/>
    <mergeCell ref="A568:C568"/>
    <mergeCell ref="D568:E568"/>
    <mergeCell ref="F568:G568"/>
    <mergeCell ref="A569:C569"/>
    <mergeCell ref="D569:E569"/>
    <mergeCell ref="F569:G569"/>
    <mergeCell ref="A537:C537"/>
    <mergeCell ref="D537:E537"/>
    <mergeCell ref="F537:G537"/>
    <mergeCell ref="D538:E538"/>
    <mergeCell ref="A541:G541"/>
    <mergeCell ref="A566:C566"/>
    <mergeCell ref="D566:E566"/>
    <mergeCell ref="F566:G566"/>
    <mergeCell ref="D506:E506"/>
    <mergeCell ref="A509:G509"/>
    <mergeCell ref="A534:C534"/>
    <mergeCell ref="D534:E534"/>
    <mergeCell ref="F534:G534"/>
    <mergeCell ref="A536:C536"/>
    <mergeCell ref="D536:E536"/>
    <mergeCell ref="F536:G536"/>
    <mergeCell ref="A504:C504"/>
    <mergeCell ref="D504:E504"/>
    <mergeCell ref="F504:G504"/>
    <mergeCell ref="A505:C505"/>
    <mergeCell ref="D505:E505"/>
    <mergeCell ref="F505:G505"/>
    <mergeCell ref="A473:C473"/>
    <mergeCell ref="D473:E473"/>
    <mergeCell ref="F473:G473"/>
    <mergeCell ref="D474:E474"/>
    <mergeCell ref="A477:G477"/>
    <mergeCell ref="A502:C502"/>
    <mergeCell ref="D502:E502"/>
    <mergeCell ref="F502:G502"/>
    <mergeCell ref="D445:E445"/>
    <mergeCell ref="A448:G448"/>
    <mergeCell ref="A470:C470"/>
    <mergeCell ref="D470:E470"/>
    <mergeCell ref="F470:G470"/>
    <mergeCell ref="A472:C472"/>
    <mergeCell ref="D472:E472"/>
    <mergeCell ref="F472:G472"/>
    <mergeCell ref="A443:C443"/>
    <mergeCell ref="D443:E443"/>
    <mergeCell ref="F443:G443"/>
    <mergeCell ref="A444:C444"/>
    <mergeCell ref="D444:E444"/>
    <mergeCell ref="F444:G444"/>
    <mergeCell ref="A413:C413"/>
    <mergeCell ref="D413:E413"/>
    <mergeCell ref="F413:G413"/>
    <mergeCell ref="D414:E414"/>
    <mergeCell ref="A417:G417"/>
    <mergeCell ref="A441:C441"/>
    <mergeCell ref="D441:E441"/>
    <mergeCell ref="F441:G441"/>
    <mergeCell ref="D381:E381"/>
    <mergeCell ref="A384:G384"/>
    <mergeCell ref="A409:C409"/>
    <mergeCell ref="D409:E409"/>
    <mergeCell ref="F409:G409"/>
    <mergeCell ref="A412:C412"/>
    <mergeCell ref="D412:E412"/>
    <mergeCell ref="F412:G412"/>
    <mergeCell ref="A379:C379"/>
    <mergeCell ref="D379:E379"/>
    <mergeCell ref="F379:G379"/>
    <mergeCell ref="A380:C380"/>
    <mergeCell ref="D380:E380"/>
    <mergeCell ref="F380:G380"/>
    <mergeCell ref="A346:C346"/>
    <mergeCell ref="D346:E346"/>
    <mergeCell ref="F346:G346"/>
    <mergeCell ref="D347:E347"/>
    <mergeCell ref="A350:G350"/>
    <mergeCell ref="A376:C376"/>
    <mergeCell ref="D376:E376"/>
    <mergeCell ref="F376:G376"/>
    <mergeCell ref="D312:E312"/>
    <mergeCell ref="A315:G315"/>
    <mergeCell ref="A342:C342"/>
    <mergeCell ref="D342:E342"/>
    <mergeCell ref="F342:G342"/>
    <mergeCell ref="A345:C345"/>
    <mergeCell ref="D345:E345"/>
    <mergeCell ref="F345:G345"/>
    <mergeCell ref="A310:C310"/>
    <mergeCell ref="D310:E310"/>
    <mergeCell ref="F310:G310"/>
    <mergeCell ref="A311:C311"/>
    <mergeCell ref="D311:E311"/>
    <mergeCell ref="F311:G311"/>
    <mergeCell ref="A278:C278"/>
    <mergeCell ref="D278:E278"/>
    <mergeCell ref="F278:G278"/>
    <mergeCell ref="D279:E279"/>
    <mergeCell ref="A282:G282"/>
    <mergeCell ref="A308:C308"/>
    <mergeCell ref="D308:E308"/>
    <mergeCell ref="F308:G308"/>
    <mergeCell ref="D240:E240"/>
    <mergeCell ref="A243:G243"/>
    <mergeCell ref="A274:C274"/>
    <mergeCell ref="D274:E274"/>
    <mergeCell ref="F274:G274"/>
    <mergeCell ref="A277:C277"/>
    <mergeCell ref="D277:E277"/>
    <mergeCell ref="F277:G277"/>
    <mergeCell ref="A238:C238"/>
    <mergeCell ref="D238:E238"/>
    <mergeCell ref="F238:G238"/>
    <mergeCell ref="A239:C239"/>
    <mergeCell ref="D239:E239"/>
    <mergeCell ref="F239:G239"/>
    <mergeCell ref="A206:C206"/>
    <mergeCell ref="D206:E206"/>
    <mergeCell ref="F206:G206"/>
    <mergeCell ref="D207:E207"/>
    <mergeCell ref="A210:G210"/>
    <mergeCell ref="A236:C236"/>
    <mergeCell ref="D236:E236"/>
    <mergeCell ref="F236:G236"/>
    <mergeCell ref="D174:E174"/>
    <mergeCell ref="A177:G177"/>
    <mergeCell ref="A202:C202"/>
    <mergeCell ref="D202:E202"/>
    <mergeCell ref="F202:G202"/>
    <mergeCell ref="A205:C205"/>
    <mergeCell ref="D205:E205"/>
    <mergeCell ref="F205:G205"/>
    <mergeCell ref="A172:C172"/>
    <mergeCell ref="D172:E172"/>
    <mergeCell ref="F172:G172"/>
    <mergeCell ref="A173:C173"/>
    <mergeCell ref="D173:E173"/>
    <mergeCell ref="F173:G173"/>
    <mergeCell ref="A136:C136"/>
    <mergeCell ref="D136:E136"/>
    <mergeCell ref="F136:G136"/>
    <mergeCell ref="D137:E137"/>
    <mergeCell ref="A143:G143"/>
    <mergeCell ref="A169:C169"/>
    <mergeCell ref="D169:E169"/>
    <mergeCell ref="F169:G169"/>
    <mergeCell ref="A106:G106"/>
    <mergeCell ref="A133:C133"/>
    <mergeCell ref="D133:E133"/>
    <mergeCell ref="F133:G133"/>
    <mergeCell ref="A135:C135"/>
    <mergeCell ref="D135:E135"/>
    <mergeCell ref="F135:G135"/>
    <mergeCell ref="A102:C102"/>
    <mergeCell ref="D102:E102"/>
    <mergeCell ref="F102:G102"/>
    <mergeCell ref="A103:C103"/>
    <mergeCell ref="D103:E103"/>
    <mergeCell ref="F103:G103"/>
    <mergeCell ref="A99:C99"/>
    <mergeCell ref="D99:E99"/>
    <mergeCell ref="F99:G99"/>
    <mergeCell ref="A101:C101"/>
    <mergeCell ref="D101:E101"/>
    <mergeCell ref="F101:G101"/>
    <mergeCell ref="A70:C70"/>
    <mergeCell ref="D70:E70"/>
    <mergeCell ref="F70:G70"/>
    <mergeCell ref="D71:E71"/>
    <mergeCell ref="A75:G75"/>
    <mergeCell ref="A77:D77"/>
    <mergeCell ref="A69:C69"/>
    <mergeCell ref="D69:E69"/>
    <mergeCell ref="F69:G69"/>
    <mergeCell ref="A33:C33"/>
    <mergeCell ref="D33:E33"/>
    <mergeCell ref="F33:G33"/>
    <mergeCell ref="D34:E34"/>
    <mergeCell ref="A37:G37"/>
    <mergeCell ref="A39:D39"/>
    <mergeCell ref="A3:G3"/>
    <mergeCell ref="A5:D5"/>
    <mergeCell ref="A30:C30"/>
    <mergeCell ref="D30:E30"/>
    <mergeCell ref="F30:G30"/>
    <mergeCell ref="A32:C32"/>
    <mergeCell ref="D32:E32"/>
    <mergeCell ref="F32:G32"/>
    <mergeCell ref="A66:C66"/>
    <mergeCell ref="D66:E66"/>
    <mergeCell ref="F66:G66"/>
  </mergeCells>
  <printOptions/>
  <pageMargins left="0.7874015748031497" right="0.5511811023622047" top="0.7480314960629921" bottom="0.7480314960629921" header="0.31496062992125984" footer="0.31496062992125984"/>
  <pageSetup horizontalDpi="600" verticalDpi="600" orientation="portrait" paperSize="9" r:id="rId1"/>
  <rowBreaks count="33" manualBreakCount="33">
    <brk id="34" max="6" man="1"/>
    <brk id="72" max="255" man="1"/>
    <brk id="103" max="6" man="1"/>
    <brk id="140" max="6" man="1"/>
    <brk id="174" max="6" man="1"/>
    <brk id="207" max="6" man="1"/>
    <brk id="240" max="6" man="1"/>
    <brk id="279" max="6" man="1"/>
    <brk id="312" max="6" man="1"/>
    <brk id="347" max="6" man="1"/>
    <brk id="381" max="6" man="1"/>
    <brk id="414" max="6" man="1"/>
    <brk id="445" max="6" man="1"/>
    <brk id="474" max="6" man="1"/>
    <brk id="506" max="6" man="1"/>
    <brk id="538" max="6" man="1"/>
    <brk id="570" max="6" man="1"/>
    <brk id="602" max="6" man="1"/>
    <brk id="635" max="6" man="1"/>
    <brk id="668" max="6" man="1"/>
    <brk id="701" max="6" man="1"/>
    <brk id="734" max="6" man="1"/>
    <brk id="770" max="6" man="1"/>
    <brk id="803" max="6" man="1"/>
    <brk id="836" max="6" man="1"/>
    <brk id="869" max="6" man="1"/>
    <brk id="902" max="6" man="1"/>
    <brk id="935" max="6" man="1"/>
    <brk id="968" max="6" man="1"/>
    <brk id="1001" max="6" man="1"/>
    <brk id="1034" max="6" man="1"/>
    <brk id="1066" max="6" man="1"/>
    <brk id="109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G32"/>
  <sheetViews>
    <sheetView view="pageBreakPreview" zoomScaleSheetLayoutView="100" zoomScalePageLayoutView="0" workbookViewId="0" topLeftCell="A1">
      <selection activeCell="D30" sqref="D30:E30"/>
    </sheetView>
  </sheetViews>
  <sheetFormatPr defaultColWidth="9.140625" defaultRowHeight="12.75"/>
  <cols>
    <col min="1" max="1" width="8.7109375" style="2" customWidth="1"/>
    <col min="2" max="2" width="8.8515625" style="2" customWidth="1"/>
    <col min="3" max="3" width="8.140625" style="2" customWidth="1"/>
    <col min="4" max="4" width="22.140625" style="2" customWidth="1"/>
    <col min="5" max="5" width="12.28125" style="2" customWidth="1"/>
    <col min="6" max="7" width="15.00390625" style="2" customWidth="1"/>
    <col min="8" max="8" width="13.57421875" style="2" bestFit="1" customWidth="1"/>
    <col min="9" max="9" width="12.7109375" style="2" bestFit="1" customWidth="1"/>
    <col min="10" max="10" width="9.140625" style="2" customWidth="1"/>
    <col min="11" max="11" width="11.00390625" style="2" bestFit="1" customWidth="1"/>
    <col min="12" max="16384" width="9.140625" style="2" customWidth="1"/>
  </cols>
  <sheetData>
    <row r="1" ht="18.75">
      <c r="G1" s="118" t="s">
        <v>719</v>
      </c>
    </row>
    <row r="2" ht="18.75">
      <c r="G2" s="118" t="s">
        <v>709</v>
      </c>
    </row>
    <row r="3" spans="1:7" ht="18.75">
      <c r="A3" s="700" t="s">
        <v>153</v>
      </c>
      <c r="B3" s="700"/>
      <c r="C3" s="700"/>
      <c r="D3" s="700"/>
      <c r="E3" s="700"/>
      <c r="F3" s="700"/>
      <c r="G3" s="700"/>
    </row>
    <row r="4" ht="18.75">
      <c r="A4" s="4" t="s">
        <v>138</v>
      </c>
    </row>
    <row r="5" spans="1:7" ht="18.75">
      <c r="A5" s="497" t="s">
        <v>0</v>
      </c>
      <c r="B5" s="498"/>
      <c r="C5" s="498"/>
      <c r="D5" s="498"/>
      <c r="E5" s="444" t="s">
        <v>139</v>
      </c>
      <c r="F5" s="444" t="s">
        <v>40</v>
      </c>
      <c r="G5" s="444" t="s">
        <v>1</v>
      </c>
    </row>
    <row r="6" spans="1:7" ht="18.75">
      <c r="A6" s="144" t="s">
        <v>441</v>
      </c>
      <c r="B6" s="500"/>
      <c r="C6" s="500"/>
      <c r="D6" s="500"/>
      <c r="E6" s="147">
        <v>510000</v>
      </c>
      <c r="F6" s="135">
        <v>1440</v>
      </c>
      <c r="G6" s="135"/>
    </row>
    <row r="7" spans="1:7" ht="18.75">
      <c r="A7" s="136"/>
      <c r="B7" s="124" t="s">
        <v>152</v>
      </c>
      <c r="E7" s="146">
        <v>110606</v>
      </c>
      <c r="F7" s="145"/>
      <c r="G7" s="125">
        <f>+F6</f>
        <v>1440</v>
      </c>
    </row>
    <row r="8" spans="1:7" ht="18.75">
      <c r="A8" s="138"/>
      <c r="B8" s="124"/>
      <c r="E8" s="145"/>
      <c r="F8" s="145"/>
      <c r="G8" s="125"/>
    </row>
    <row r="9" spans="1:7" ht="18.75">
      <c r="A9" s="138"/>
      <c r="B9" s="124"/>
      <c r="E9" s="145"/>
      <c r="F9" s="145"/>
      <c r="G9" s="125"/>
    </row>
    <row r="10" spans="1:7" ht="18.75">
      <c r="A10" s="138"/>
      <c r="B10" s="124"/>
      <c r="E10" s="145"/>
      <c r="F10" s="145"/>
      <c r="G10" s="125"/>
    </row>
    <row r="11" spans="1:7" ht="18.75">
      <c r="A11" s="123"/>
      <c r="B11" s="124"/>
      <c r="E11" s="145"/>
      <c r="F11" s="145"/>
      <c r="G11" s="125"/>
    </row>
    <row r="12" spans="1:7" ht="18.75">
      <c r="A12" s="123"/>
      <c r="B12" s="124"/>
      <c r="E12" s="145"/>
      <c r="F12" s="145"/>
      <c r="G12" s="125"/>
    </row>
    <row r="13" spans="1:7" ht="18.75">
      <c r="A13" s="123"/>
      <c r="B13" s="124"/>
      <c r="E13" s="145"/>
      <c r="F13" s="145"/>
      <c r="G13" s="125"/>
    </row>
    <row r="14" spans="1:7" ht="18.75">
      <c r="A14" s="123"/>
      <c r="B14" s="124"/>
      <c r="E14" s="145"/>
      <c r="F14" s="145"/>
      <c r="G14" s="125"/>
    </row>
    <row r="15" spans="1:7" ht="18.75">
      <c r="A15" s="123"/>
      <c r="B15" s="124"/>
      <c r="E15" s="145"/>
      <c r="F15" s="145"/>
      <c r="G15" s="125"/>
    </row>
    <row r="16" spans="1:7" ht="18.75">
      <c r="A16" s="123"/>
      <c r="B16" s="124"/>
      <c r="E16" s="145"/>
      <c r="F16" s="145"/>
      <c r="G16" s="125"/>
    </row>
    <row r="17" spans="1:7" ht="18.75">
      <c r="A17" s="123"/>
      <c r="B17" s="124"/>
      <c r="E17" s="145"/>
      <c r="F17" s="145"/>
      <c r="G17" s="125"/>
    </row>
    <row r="18" spans="1:7" ht="18.75">
      <c r="A18" s="123"/>
      <c r="B18" s="124"/>
      <c r="E18" s="145"/>
      <c r="F18" s="145"/>
      <c r="G18" s="125"/>
    </row>
    <row r="19" spans="1:7" ht="18.75">
      <c r="A19" s="123"/>
      <c r="B19" s="124"/>
      <c r="E19" s="145"/>
      <c r="F19" s="145"/>
      <c r="G19" s="125"/>
    </row>
    <row r="20" spans="1:7" ht="18.75">
      <c r="A20" s="123"/>
      <c r="B20" s="124"/>
      <c r="E20" s="145"/>
      <c r="F20" s="145"/>
      <c r="G20" s="125"/>
    </row>
    <row r="21" spans="1:7" ht="18.75">
      <c r="A21" s="123"/>
      <c r="B21" s="124"/>
      <c r="E21" s="145"/>
      <c r="F21" s="145"/>
      <c r="G21" s="125"/>
    </row>
    <row r="22" spans="1:7" ht="18.75">
      <c r="A22" s="127"/>
      <c r="B22" s="128"/>
      <c r="C22" s="128"/>
      <c r="D22" s="128"/>
      <c r="E22" s="127"/>
      <c r="F22" s="129"/>
      <c r="G22" s="129"/>
    </row>
    <row r="23" spans="6:7" ht="19.5" thickBot="1">
      <c r="F23" s="130">
        <f>SUM(F6:F22)</f>
        <v>1440</v>
      </c>
      <c r="G23" s="130">
        <f>SUM(G6:G22)</f>
        <v>1440</v>
      </c>
    </row>
    <row r="24" spans="6:7" ht="19.5" thickTop="1">
      <c r="F24" s="3"/>
      <c r="G24" s="3"/>
    </row>
    <row r="25" spans="1:7" ht="18.75">
      <c r="A25" s="4" t="s">
        <v>141</v>
      </c>
      <c r="B25" s="4" t="s">
        <v>675</v>
      </c>
      <c r="F25" s="3"/>
      <c r="G25" s="131"/>
    </row>
    <row r="26" spans="1:7" ht="18.75">
      <c r="A26" s="4" t="s">
        <v>720</v>
      </c>
      <c r="F26" s="3"/>
      <c r="G26" s="3"/>
    </row>
    <row r="27" spans="2:7" ht="18.75">
      <c r="B27" s="4"/>
      <c r="F27" s="3"/>
      <c r="G27" s="3"/>
    </row>
    <row r="28" spans="1:7" ht="18.75">
      <c r="A28" s="693" t="s">
        <v>144</v>
      </c>
      <c r="B28" s="694"/>
      <c r="C28" s="695"/>
      <c r="D28" s="692" t="s">
        <v>143</v>
      </c>
      <c r="E28" s="692"/>
      <c r="F28" s="692" t="s">
        <v>142</v>
      </c>
      <c r="G28" s="692"/>
    </row>
    <row r="29" spans="1:7" ht="18.75">
      <c r="A29" s="123"/>
      <c r="B29" s="124"/>
      <c r="C29" s="126"/>
      <c r="D29" s="123"/>
      <c r="E29" s="126"/>
      <c r="F29" s="123"/>
      <c r="G29" s="126"/>
    </row>
    <row r="30" spans="1:7" ht="18.75">
      <c r="A30" s="696" t="s">
        <v>351</v>
      </c>
      <c r="B30" s="697"/>
      <c r="C30" s="698"/>
      <c r="D30" s="696" t="s">
        <v>642</v>
      </c>
      <c r="E30" s="698"/>
      <c r="F30" s="696" t="str">
        <f>+A30</f>
        <v>(นางสาววรรณา  ผลบุญ)</v>
      </c>
      <c r="G30" s="698"/>
    </row>
    <row r="31" spans="1:7" ht="18.75">
      <c r="A31" s="696" t="s">
        <v>570</v>
      </c>
      <c r="B31" s="697"/>
      <c r="C31" s="698"/>
      <c r="D31" s="696" t="s">
        <v>36</v>
      </c>
      <c r="E31" s="698"/>
      <c r="F31" s="696" t="str">
        <f>+A31</f>
        <v>นักวิชาการเงินและบัญชี</v>
      </c>
      <c r="G31" s="698"/>
    </row>
    <row r="32" spans="1:7" ht="18.75">
      <c r="A32" s="127"/>
      <c r="B32" s="128"/>
      <c r="C32" s="133"/>
      <c r="D32" s="687"/>
      <c r="E32" s="688"/>
      <c r="F32" s="127"/>
      <c r="G32" s="133"/>
    </row>
  </sheetData>
  <sheetProtection/>
  <mergeCells count="11">
    <mergeCell ref="A3:G3"/>
    <mergeCell ref="A28:C28"/>
    <mergeCell ref="D28:E28"/>
    <mergeCell ref="F28:G28"/>
    <mergeCell ref="D32:E32"/>
    <mergeCell ref="A31:C31"/>
    <mergeCell ref="D31:E31"/>
    <mergeCell ref="F31:G31"/>
    <mergeCell ref="A30:C30"/>
    <mergeCell ref="D30:E30"/>
    <mergeCell ref="F30:G30"/>
  </mergeCells>
  <printOptions/>
  <pageMargins left="0.7874015748031497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G32"/>
  <sheetViews>
    <sheetView view="pageBreakPreview" zoomScaleSheetLayoutView="100" zoomScalePageLayoutView="0" workbookViewId="0" topLeftCell="A19">
      <selection activeCell="B10" sqref="B10"/>
    </sheetView>
  </sheetViews>
  <sheetFormatPr defaultColWidth="9.140625" defaultRowHeight="12.75"/>
  <cols>
    <col min="1" max="1" width="8.7109375" style="2" customWidth="1"/>
    <col min="2" max="2" width="8.8515625" style="2" customWidth="1"/>
    <col min="3" max="3" width="8.140625" style="2" customWidth="1"/>
    <col min="4" max="4" width="22.140625" style="2" customWidth="1"/>
    <col min="5" max="5" width="12.28125" style="2" customWidth="1"/>
    <col min="6" max="7" width="15.00390625" style="2" customWidth="1"/>
    <col min="8" max="8" width="13.57421875" style="2" bestFit="1" customWidth="1"/>
    <col min="9" max="9" width="12.7109375" style="2" bestFit="1" customWidth="1"/>
    <col min="10" max="10" width="9.140625" style="2" customWidth="1"/>
    <col min="11" max="11" width="11.00390625" style="2" bestFit="1" customWidth="1"/>
    <col min="12" max="16384" width="9.140625" style="2" customWidth="1"/>
  </cols>
  <sheetData>
    <row r="1" ht="18.75">
      <c r="G1" s="118" t="s">
        <v>721</v>
      </c>
    </row>
    <row r="2" ht="18.75">
      <c r="G2" s="118" t="s">
        <v>717</v>
      </c>
    </row>
    <row r="3" spans="1:7" ht="18.75">
      <c r="A3" s="700" t="s">
        <v>153</v>
      </c>
      <c r="B3" s="700"/>
      <c r="C3" s="700"/>
      <c r="D3" s="700"/>
      <c r="E3" s="700"/>
      <c r="F3" s="700"/>
      <c r="G3" s="700"/>
    </row>
    <row r="4" ht="18.75">
      <c r="A4" s="4" t="s">
        <v>138</v>
      </c>
    </row>
    <row r="5" spans="1:7" ht="18.75">
      <c r="A5" s="497" t="s">
        <v>0</v>
      </c>
      <c r="B5" s="498"/>
      <c r="C5" s="498"/>
      <c r="D5" s="498"/>
      <c r="E5" s="444" t="s">
        <v>139</v>
      </c>
      <c r="F5" s="444" t="s">
        <v>40</v>
      </c>
      <c r="G5" s="444" t="s">
        <v>1</v>
      </c>
    </row>
    <row r="6" spans="1:7" ht="18.75">
      <c r="A6" s="144" t="s">
        <v>448</v>
      </c>
      <c r="B6" s="500"/>
      <c r="C6" s="500"/>
      <c r="D6" s="500"/>
      <c r="E6" s="147">
        <v>522000</v>
      </c>
      <c r="F6" s="135">
        <v>60000</v>
      </c>
      <c r="G6" s="135"/>
    </row>
    <row r="7" spans="1:7" ht="18.75">
      <c r="A7" s="136"/>
      <c r="B7" s="124" t="s">
        <v>152</v>
      </c>
      <c r="E7" s="146">
        <v>110606</v>
      </c>
      <c r="F7" s="145"/>
      <c r="G7" s="125">
        <f>+F6</f>
        <v>60000</v>
      </c>
    </row>
    <row r="8" spans="1:7" ht="18.75">
      <c r="A8" s="138"/>
      <c r="B8" s="124"/>
      <c r="E8" s="145"/>
      <c r="F8" s="145"/>
      <c r="G8" s="125"/>
    </row>
    <row r="9" spans="1:7" ht="18.75">
      <c r="A9" s="138"/>
      <c r="B9" s="124"/>
      <c r="E9" s="145"/>
      <c r="F9" s="145"/>
      <c r="G9" s="125"/>
    </row>
    <row r="10" spans="1:7" ht="18.75">
      <c r="A10" s="138"/>
      <c r="B10" s="124"/>
      <c r="E10" s="145"/>
      <c r="F10" s="145"/>
      <c r="G10" s="125"/>
    </row>
    <row r="11" spans="1:7" ht="18.75">
      <c r="A11" s="123"/>
      <c r="B11" s="124"/>
      <c r="E11" s="145"/>
      <c r="F11" s="145"/>
      <c r="G11" s="125"/>
    </row>
    <row r="12" spans="1:7" ht="18.75">
      <c r="A12" s="123"/>
      <c r="B12" s="124"/>
      <c r="E12" s="145"/>
      <c r="F12" s="145"/>
      <c r="G12" s="125"/>
    </row>
    <row r="13" spans="1:7" ht="18.75">
      <c r="A13" s="123"/>
      <c r="B13" s="124"/>
      <c r="E13" s="145"/>
      <c r="F13" s="145"/>
      <c r="G13" s="125"/>
    </row>
    <row r="14" spans="1:7" ht="18.75">
      <c r="A14" s="123"/>
      <c r="B14" s="124"/>
      <c r="E14" s="145"/>
      <c r="F14" s="145"/>
      <c r="G14" s="125"/>
    </row>
    <row r="15" spans="1:7" ht="18.75">
      <c r="A15" s="123"/>
      <c r="B15" s="124"/>
      <c r="E15" s="145"/>
      <c r="F15" s="145"/>
      <c r="G15" s="125"/>
    </row>
    <row r="16" spans="1:7" ht="18.75">
      <c r="A16" s="123"/>
      <c r="B16" s="124"/>
      <c r="E16" s="145"/>
      <c r="F16" s="145"/>
      <c r="G16" s="125"/>
    </row>
    <row r="17" spans="1:7" ht="18.75">
      <c r="A17" s="123"/>
      <c r="B17" s="124"/>
      <c r="E17" s="145"/>
      <c r="F17" s="145"/>
      <c r="G17" s="125"/>
    </row>
    <row r="18" spans="1:7" ht="18.75">
      <c r="A18" s="123"/>
      <c r="B18" s="124"/>
      <c r="E18" s="145"/>
      <c r="F18" s="145"/>
      <c r="G18" s="125"/>
    </row>
    <row r="19" spans="1:7" ht="18.75">
      <c r="A19" s="123"/>
      <c r="B19" s="124"/>
      <c r="E19" s="145"/>
      <c r="F19" s="145"/>
      <c r="G19" s="125"/>
    </row>
    <row r="20" spans="1:7" ht="18.75">
      <c r="A20" s="123"/>
      <c r="B20" s="124"/>
      <c r="E20" s="145"/>
      <c r="F20" s="145"/>
      <c r="G20" s="125"/>
    </row>
    <row r="21" spans="1:7" ht="18.75">
      <c r="A21" s="123"/>
      <c r="B21" s="124"/>
      <c r="E21" s="145"/>
      <c r="F21" s="145"/>
      <c r="G21" s="125"/>
    </row>
    <row r="22" spans="1:7" ht="18.75">
      <c r="A22" s="127"/>
      <c r="B22" s="128"/>
      <c r="C22" s="128"/>
      <c r="D22" s="128"/>
      <c r="E22" s="127"/>
      <c r="F22" s="129"/>
      <c r="G22" s="129"/>
    </row>
    <row r="23" spans="6:7" ht="19.5" thickBot="1">
      <c r="F23" s="130">
        <f>SUM(F6:F22)</f>
        <v>60000</v>
      </c>
      <c r="G23" s="130">
        <f>SUM(G6:G22)</f>
        <v>60000</v>
      </c>
    </row>
    <row r="24" spans="6:7" ht="19.5" thickTop="1">
      <c r="F24" s="3"/>
      <c r="G24" s="3"/>
    </row>
    <row r="25" spans="1:7" ht="18.75">
      <c r="A25" s="4" t="s">
        <v>141</v>
      </c>
      <c r="B25" s="4" t="s">
        <v>722</v>
      </c>
      <c r="F25" s="3"/>
      <c r="G25" s="131"/>
    </row>
    <row r="26" spans="1:7" ht="18.75">
      <c r="A26" s="4" t="s">
        <v>723</v>
      </c>
      <c r="F26" s="3"/>
      <c r="G26" s="3"/>
    </row>
    <row r="27" spans="2:7" ht="18.75">
      <c r="B27" s="4"/>
      <c r="F27" s="3"/>
      <c r="G27" s="3"/>
    </row>
    <row r="28" spans="1:7" ht="18.75">
      <c r="A28" s="693" t="s">
        <v>144</v>
      </c>
      <c r="B28" s="694"/>
      <c r="C28" s="695"/>
      <c r="D28" s="692" t="s">
        <v>143</v>
      </c>
      <c r="E28" s="692"/>
      <c r="F28" s="692" t="s">
        <v>142</v>
      </c>
      <c r="G28" s="692"/>
    </row>
    <row r="29" spans="1:7" ht="18.75">
      <c r="A29" s="123"/>
      <c r="B29" s="124"/>
      <c r="C29" s="126"/>
      <c r="D29" s="123"/>
      <c r="E29" s="126"/>
      <c r="F29" s="123"/>
      <c r="G29" s="126"/>
    </row>
    <row r="30" spans="1:7" ht="18.75">
      <c r="A30" s="696" t="s">
        <v>351</v>
      </c>
      <c r="B30" s="697"/>
      <c r="C30" s="698"/>
      <c r="D30" s="696" t="s">
        <v>642</v>
      </c>
      <c r="E30" s="698"/>
      <c r="F30" s="696" t="str">
        <f>+A30</f>
        <v>(นางสาววรรณา  ผลบุญ)</v>
      </c>
      <c r="G30" s="698"/>
    </row>
    <row r="31" spans="1:7" ht="18.75">
      <c r="A31" s="696" t="s">
        <v>570</v>
      </c>
      <c r="B31" s="697"/>
      <c r="C31" s="698"/>
      <c r="D31" s="696" t="s">
        <v>36</v>
      </c>
      <c r="E31" s="698"/>
      <c r="F31" s="696" t="str">
        <f>+A31</f>
        <v>นักวิชาการเงินและบัญชี</v>
      </c>
      <c r="G31" s="698"/>
    </row>
    <row r="32" spans="1:7" ht="18.75">
      <c r="A32" s="127"/>
      <c r="B32" s="128"/>
      <c r="C32" s="133"/>
      <c r="D32" s="687"/>
      <c r="E32" s="688"/>
      <c r="F32" s="127"/>
      <c r="G32" s="133"/>
    </row>
  </sheetData>
  <sheetProtection/>
  <mergeCells count="11">
    <mergeCell ref="A3:G3"/>
    <mergeCell ref="A28:C28"/>
    <mergeCell ref="D28:E28"/>
    <mergeCell ref="F28:G28"/>
    <mergeCell ref="A31:C31"/>
    <mergeCell ref="F31:G31"/>
    <mergeCell ref="D32:E32"/>
    <mergeCell ref="A30:C30"/>
    <mergeCell ref="D30:E30"/>
    <mergeCell ref="F30:G30"/>
    <mergeCell ref="D31:E31"/>
  </mergeCells>
  <printOptions/>
  <pageMargins left="0.7874015748031497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G32"/>
  <sheetViews>
    <sheetView view="pageBreakPreview" zoomScaleSheetLayoutView="100" zoomScalePageLayoutView="0" workbookViewId="0" topLeftCell="A1">
      <selection activeCell="D30" sqref="D30:E30"/>
    </sheetView>
  </sheetViews>
  <sheetFormatPr defaultColWidth="9.140625" defaultRowHeight="12.75"/>
  <cols>
    <col min="1" max="1" width="8.7109375" style="2" customWidth="1"/>
    <col min="2" max="2" width="8.8515625" style="2" customWidth="1"/>
    <col min="3" max="3" width="8.140625" style="2" customWidth="1"/>
    <col min="4" max="4" width="22.140625" style="2" customWidth="1"/>
    <col min="5" max="5" width="12.28125" style="2" customWidth="1"/>
    <col min="6" max="7" width="15.00390625" style="2" customWidth="1"/>
    <col min="8" max="8" width="13.57421875" style="2" bestFit="1" customWidth="1"/>
    <col min="9" max="9" width="12.7109375" style="2" bestFit="1" customWidth="1"/>
    <col min="10" max="10" width="9.140625" style="2" customWidth="1"/>
    <col min="11" max="11" width="11.00390625" style="2" bestFit="1" customWidth="1"/>
    <col min="12" max="16384" width="9.140625" style="2" customWidth="1"/>
  </cols>
  <sheetData>
    <row r="1" ht="18.75">
      <c r="G1" s="118" t="s">
        <v>724</v>
      </c>
    </row>
    <row r="2" ht="18.75">
      <c r="G2" s="118" t="s">
        <v>717</v>
      </c>
    </row>
    <row r="3" spans="1:7" ht="18.75">
      <c r="A3" s="700" t="s">
        <v>153</v>
      </c>
      <c r="B3" s="700"/>
      <c r="C3" s="700"/>
      <c r="D3" s="700"/>
      <c r="E3" s="700"/>
      <c r="F3" s="700"/>
      <c r="G3" s="700"/>
    </row>
    <row r="4" ht="18.75">
      <c r="A4" s="4" t="s">
        <v>138</v>
      </c>
    </row>
    <row r="5" spans="1:7" ht="18.75">
      <c r="A5" s="497" t="s">
        <v>0</v>
      </c>
      <c r="B5" s="498"/>
      <c r="C5" s="498"/>
      <c r="D5" s="498"/>
      <c r="E5" s="444" t="s">
        <v>139</v>
      </c>
      <c r="F5" s="444" t="s">
        <v>40</v>
      </c>
      <c r="G5" s="444" t="s">
        <v>1</v>
      </c>
    </row>
    <row r="6" spans="1:7" ht="18.75">
      <c r="A6" s="144" t="s">
        <v>449</v>
      </c>
      <c r="B6" s="500"/>
      <c r="C6" s="500"/>
      <c r="D6" s="500"/>
      <c r="E6" s="147">
        <v>220600</v>
      </c>
      <c r="F6" s="135">
        <v>36000</v>
      </c>
      <c r="G6" s="135"/>
    </row>
    <row r="7" spans="1:7" ht="18.75">
      <c r="A7" s="136"/>
      <c r="B7" s="124" t="s">
        <v>152</v>
      </c>
      <c r="E7" s="146">
        <v>110606</v>
      </c>
      <c r="F7" s="145"/>
      <c r="G7" s="125">
        <f>+F6</f>
        <v>36000</v>
      </c>
    </row>
    <row r="8" spans="1:7" ht="18.75">
      <c r="A8" s="138"/>
      <c r="B8" s="124"/>
      <c r="E8" s="145"/>
      <c r="F8" s="145"/>
      <c r="G8" s="125"/>
    </row>
    <row r="9" spans="1:7" ht="18.75">
      <c r="A9" s="138"/>
      <c r="B9" s="124"/>
      <c r="E9" s="145"/>
      <c r="F9" s="145"/>
      <c r="G9" s="125"/>
    </row>
    <row r="10" spans="1:7" ht="18.75">
      <c r="A10" s="138"/>
      <c r="B10" s="124"/>
      <c r="E10" s="145"/>
      <c r="F10" s="145"/>
      <c r="G10" s="125"/>
    </row>
    <row r="11" spans="1:7" ht="18.75">
      <c r="A11" s="123"/>
      <c r="B11" s="124"/>
      <c r="E11" s="145"/>
      <c r="F11" s="145"/>
      <c r="G11" s="125"/>
    </row>
    <row r="12" spans="1:7" ht="18.75">
      <c r="A12" s="123"/>
      <c r="B12" s="124"/>
      <c r="E12" s="145"/>
      <c r="F12" s="145"/>
      <c r="G12" s="125"/>
    </row>
    <row r="13" spans="1:7" ht="18.75">
      <c r="A13" s="123"/>
      <c r="B13" s="124"/>
      <c r="E13" s="145"/>
      <c r="F13" s="145"/>
      <c r="G13" s="125"/>
    </row>
    <row r="14" spans="1:7" ht="18.75">
      <c r="A14" s="123"/>
      <c r="B14" s="124"/>
      <c r="E14" s="145"/>
      <c r="F14" s="145"/>
      <c r="G14" s="125"/>
    </row>
    <row r="15" spans="1:7" ht="18.75">
      <c r="A15" s="123"/>
      <c r="B15" s="124"/>
      <c r="E15" s="145"/>
      <c r="F15" s="145"/>
      <c r="G15" s="125"/>
    </row>
    <row r="16" spans="1:7" ht="18.75">
      <c r="A16" s="123"/>
      <c r="B16" s="124"/>
      <c r="E16" s="145"/>
      <c r="F16" s="145"/>
      <c r="G16" s="125"/>
    </row>
    <row r="17" spans="1:7" ht="18.75">
      <c r="A17" s="123"/>
      <c r="B17" s="124"/>
      <c r="E17" s="145"/>
      <c r="F17" s="145"/>
      <c r="G17" s="125"/>
    </row>
    <row r="18" spans="1:7" ht="18.75">
      <c r="A18" s="123"/>
      <c r="B18" s="124"/>
      <c r="E18" s="145"/>
      <c r="F18" s="145"/>
      <c r="G18" s="125"/>
    </row>
    <row r="19" spans="1:7" ht="18.75">
      <c r="A19" s="123"/>
      <c r="B19" s="124"/>
      <c r="E19" s="145"/>
      <c r="F19" s="145"/>
      <c r="G19" s="125"/>
    </row>
    <row r="20" spans="1:7" ht="18.75">
      <c r="A20" s="123"/>
      <c r="B20" s="124"/>
      <c r="E20" s="145"/>
      <c r="F20" s="145"/>
      <c r="G20" s="125"/>
    </row>
    <row r="21" spans="1:7" ht="18.75">
      <c r="A21" s="123"/>
      <c r="B21" s="124"/>
      <c r="E21" s="145"/>
      <c r="F21" s="145"/>
      <c r="G21" s="125"/>
    </row>
    <row r="22" spans="1:7" ht="18.75">
      <c r="A22" s="127"/>
      <c r="B22" s="128"/>
      <c r="C22" s="128"/>
      <c r="D22" s="128"/>
      <c r="E22" s="127"/>
      <c r="F22" s="129"/>
      <c r="G22" s="129"/>
    </row>
    <row r="23" spans="6:7" ht="19.5" thickBot="1">
      <c r="F23" s="130">
        <f>SUM(F6:F22)</f>
        <v>36000</v>
      </c>
      <c r="G23" s="130">
        <f>SUM(G6:G22)</f>
        <v>36000</v>
      </c>
    </row>
    <row r="24" spans="6:7" ht="19.5" thickTop="1">
      <c r="F24" s="3"/>
      <c r="G24" s="3"/>
    </row>
    <row r="25" spans="1:7" ht="18.75">
      <c r="A25" s="4" t="s">
        <v>141</v>
      </c>
      <c r="B25" s="4" t="s">
        <v>676</v>
      </c>
      <c r="F25" s="3"/>
      <c r="G25" s="131"/>
    </row>
    <row r="26" spans="1:7" ht="18.75">
      <c r="A26" s="4" t="s">
        <v>725</v>
      </c>
      <c r="F26" s="3"/>
      <c r="G26" s="3"/>
    </row>
    <row r="27" spans="2:7" ht="18.75">
      <c r="B27" s="4"/>
      <c r="F27" s="3"/>
      <c r="G27" s="3"/>
    </row>
    <row r="28" spans="1:7" ht="18.75">
      <c r="A28" s="693" t="s">
        <v>144</v>
      </c>
      <c r="B28" s="694"/>
      <c r="C28" s="695"/>
      <c r="D28" s="692" t="s">
        <v>143</v>
      </c>
      <c r="E28" s="692"/>
      <c r="F28" s="692" t="s">
        <v>142</v>
      </c>
      <c r="G28" s="692"/>
    </row>
    <row r="29" spans="1:7" ht="18.75">
      <c r="A29" s="123"/>
      <c r="B29" s="124"/>
      <c r="C29" s="126"/>
      <c r="D29" s="123"/>
      <c r="E29" s="126"/>
      <c r="F29" s="123"/>
      <c r="G29" s="126"/>
    </row>
    <row r="30" spans="1:7" ht="18.75">
      <c r="A30" s="696" t="s">
        <v>351</v>
      </c>
      <c r="B30" s="697"/>
      <c r="C30" s="698"/>
      <c r="D30" s="696" t="s">
        <v>642</v>
      </c>
      <c r="E30" s="698"/>
      <c r="F30" s="696" t="str">
        <f>+A30</f>
        <v>(นางสาววรรณา  ผลบุญ)</v>
      </c>
      <c r="G30" s="698"/>
    </row>
    <row r="31" spans="1:7" ht="18.75">
      <c r="A31" s="696" t="s">
        <v>570</v>
      </c>
      <c r="B31" s="697"/>
      <c r="C31" s="698"/>
      <c r="D31" s="696" t="s">
        <v>36</v>
      </c>
      <c r="E31" s="698"/>
      <c r="F31" s="696" t="str">
        <f>+A31</f>
        <v>นักวิชาการเงินและบัญชี</v>
      </c>
      <c r="G31" s="698"/>
    </row>
    <row r="32" spans="1:7" ht="18.75">
      <c r="A32" s="127"/>
      <c r="B32" s="128"/>
      <c r="C32" s="133"/>
      <c r="D32" s="687"/>
      <c r="E32" s="688"/>
      <c r="F32" s="127"/>
      <c r="G32" s="133"/>
    </row>
  </sheetData>
  <sheetProtection/>
  <mergeCells count="11">
    <mergeCell ref="A31:C31"/>
    <mergeCell ref="D31:E31"/>
    <mergeCell ref="F31:G31"/>
    <mergeCell ref="D32:E32"/>
    <mergeCell ref="A3:G3"/>
    <mergeCell ref="A28:C28"/>
    <mergeCell ref="D28:E28"/>
    <mergeCell ref="F28:G28"/>
    <mergeCell ref="A30:C30"/>
    <mergeCell ref="D30:E30"/>
    <mergeCell ref="F30:G30"/>
  </mergeCells>
  <printOptions/>
  <pageMargins left="0.7874015748031497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G62"/>
  <sheetViews>
    <sheetView view="pageBreakPreview" zoomScaleSheetLayoutView="100" zoomScalePageLayoutView="0" workbookViewId="0" topLeftCell="A25">
      <selection activeCell="G8" sqref="G8"/>
    </sheetView>
  </sheetViews>
  <sheetFormatPr defaultColWidth="9.140625" defaultRowHeight="12.75"/>
  <cols>
    <col min="1" max="1" width="8.7109375" style="2" customWidth="1"/>
    <col min="2" max="2" width="8.8515625" style="2" customWidth="1"/>
    <col min="3" max="3" width="8.140625" style="2" customWidth="1"/>
    <col min="4" max="4" width="22.140625" style="2" customWidth="1"/>
    <col min="5" max="5" width="12.28125" style="2" customWidth="1"/>
    <col min="6" max="7" width="15.00390625" style="2" customWidth="1"/>
    <col min="8" max="8" width="13.57421875" style="2" bestFit="1" customWidth="1"/>
    <col min="9" max="9" width="12.7109375" style="2" bestFit="1" customWidth="1"/>
    <col min="10" max="10" width="9.140625" style="2" customWidth="1"/>
    <col min="11" max="11" width="11.00390625" style="2" bestFit="1" customWidth="1"/>
    <col min="12" max="16384" width="9.140625" style="2" customWidth="1"/>
  </cols>
  <sheetData>
    <row r="1" ht="18.75">
      <c r="G1" s="118" t="s">
        <v>726</v>
      </c>
    </row>
    <row r="2" ht="18.75">
      <c r="G2" s="118" t="s">
        <v>709</v>
      </c>
    </row>
    <row r="3" spans="1:7" ht="18.75">
      <c r="A3" s="700" t="s">
        <v>153</v>
      </c>
      <c r="B3" s="700"/>
      <c r="C3" s="700"/>
      <c r="D3" s="700"/>
      <c r="E3" s="700"/>
      <c r="F3" s="700"/>
      <c r="G3" s="700"/>
    </row>
    <row r="4" ht="18.75">
      <c r="A4" s="4" t="s">
        <v>138</v>
      </c>
    </row>
    <row r="5" spans="1:7" ht="18.75">
      <c r="A5" s="503" t="s">
        <v>0</v>
      </c>
      <c r="B5" s="504"/>
      <c r="C5" s="504"/>
      <c r="D5" s="504"/>
      <c r="E5" s="444" t="s">
        <v>139</v>
      </c>
      <c r="F5" s="444" t="s">
        <v>40</v>
      </c>
      <c r="G5" s="444" t="s">
        <v>1</v>
      </c>
    </row>
    <row r="6" spans="1:7" ht="18.75">
      <c r="A6" s="144" t="s">
        <v>417</v>
      </c>
      <c r="B6" s="505"/>
      <c r="C6" s="505"/>
      <c r="D6" s="505"/>
      <c r="E6" s="147">
        <v>510000</v>
      </c>
      <c r="F6" s="135">
        <v>643100</v>
      </c>
      <c r="G6" s="135"/>
    </row>
    <row r="7" spans="1:7" ht="18.75">
      <c r="A7" s="136" t="s">
        <v>427</v>
      </c>
      <c r="B7" s="506"/>
      <c r="C7" s="506"/>
      <c r="D7" s="506"/>
      <c r="E7" s="146">
        <v>510000</v>
      </c>
      <c r="F7" s="137">
        <v>56000</v>
      </c>
      <c r="G7" s="137"/>
    </row>
    <row r="8" spans="1:7" ht="18.75">
      <c r="A8" s="136"/>
      <c r="B8" s="124" t="s">
        <v>628</v>
      </c>
      <c r="E8" s="146">
        <v>110609</v>
      </c>
      <c r="F8" s="145"/>
      <c r="G8" s="125">
        <f>SUM(F6:F7)</f>
        <v>699100</v>
      </c>
    </row>
    <row r="9" spans="1:7" ht="18.75">
      <c r="A9" s="138"/>
      <c r="B9" s="124"/>
      <c r="E9" s="145"/>
      <c r="F9" s="145"/>
      <c r="G9" s="125"/>
    </row>
    <row r="10" spans="1:7" ht="18.75">
      <c r="A10" s="138"/>
      <c r="B10" s="124"/>
      <c r="E10" s="145"/>
      <c r="F10" s="145"/>
      <c r="G10" s="125"/>
    </row>
    <row r="11" spans="1:7" ht="18.75">
      <c r="A11" s="138"/>
      <c r="B11" s="124"/>
      <c r="E11" s="145"/>
      <c r="F11" s="145"/>
      <c r="G11" s="125"/>
    </row>
    <row r="12" spans="1:7" ht="18.75">
      <c r="A12" s="123"/>
      <c r="B12" s="124"/>
      <c r="E12" s="145"/>
      <c r="F12" s="145"/>
      <c r="G12" s="125"/>
    </row>
    <row r="13" spans="1:7" ht="18.75">
      <c r="A13" s="123"/>
      <c r="B13" s="124"/>
      <c r="E13" s="145"/>
      <c r="F13" s="145"/>
      <c r="G13" s="125"/>
    </row>
    <row r="14" spans="1:7" ht="18.75">
      <c r="A14" s="123"/>
      <c r="B14" s="124"/>
      <c r="E14" s="145"/>
      <c r="F14" s="145"/>
      <c r="G14" s="125"/>
    </row>
    <row r="15" spans="1:7" ht="18.75">
      <c r="A15" s="123"/>
      <c r="B15" s="124"/>
      <c r="E15" s="145"/>
      <c r="F15" s="145"/>
      <c r="G15" s="125"/>
    </row>
    <row r="16" spans="1:7" ht="18.75">
      <c r="A16" s="123"/>
      <c r="B16" s="124"/>
      <c r="E16" s="145"/>
      <c r="F16" s="145"/>
      <c r="G16" s="125"/>
    </row>
    <row r="17" spans="1:7" ht="18.75">
      <c r="A17" s="123"/>
      <c r="B17" s="124"/>
      <c r="E17" s="145"/>
      <c r="F17" s="145"/>
      <c r="G17" s="125"/>
    </row>
    <row r="18" spans="1:7" ht="18.75">
      <c r="A18" s="123"/>
      <c r="B18" s="124"/>
      <c r="E18" s="145"/>
      <c r="F18" s="145"/>
      <c r="G18" s="125"/>
    </row>
    <row r="19" spans="1:7" ht="18.75">
      <c r="A19" s="123"/>
      <c r="B19" s="124"/>
      <c r="E19" s="145"/>
      <c r="F19" s="145"/>
      <c r="G19" s="125"/>
    </row>
    <row r="20" spans="1:7" ht="18.75">
      <c r="A20" s="123"/>
      <c r="B20" s="124"/>
      <c r="E20" s="145"/>
      <c r="F20" s="145"/>
      <c r="G20" s="125"/>
    </row>
    <row r="21" spans="1:7" ht="18.75">
      <c r="A21" s="123"/>
      <c r="B21" s="124"/>
      <c r="E21" s="145"/>
      <c r="F21" s="145"/>
      <c r="G21" s="125"/>
    </row>
    <row r="22" spans="1:7" ht="18.75">
      <c r="A22" s="123"/>
      <c r="B22" s="124"/>
      <c r="E22" s="145"/>
      <c r="F22" s="145"/>
      <c r="G22" s="125"/>
    </row>
    <row r="23" spans="1:7" ht="18.75">
      <c r="A23" s="127"/>
      <c r="B23" s="128"/>
      <c r="C23" s="128"/>
      <c r="D23" s="128"/>
      <c r="E23" s="127"/>
      <c r="F23" s="129"/>
      <c r="G23" s="129"/>
    </row>
    <row r="24" spans="6:7" ht="19.5" thickBot="1">
      <c r="F24" s="130">
        <f>SUM(F6:F23)</f>
        <v>699100</v>
      </c>
      <c r="G24" s="130">
        <f>SUM(G6:G23)</f>
        <v>699100</v>
      </c>
    </row>
    <row r="25" spans="6:7" ht="19.5" thickTop="1">
      <c r="F25" s="3"/>
      <c r="G25" s="3"/>
    </row>
    <row r="26" spans="1:7" ht="18.75">
      <c r="A26" s="4" t="s">
        <v>141</v>
      </c>
      <c r="B26" s="4" t="s">
        <v>727</v>
      </c>
      <c r="F26" s="3"/>
      <c r="G26" s="131"/>
    </row>
    <row r="27" spans="1:7" ht="18.75">
      <c r="A27" s="4" t="s">
        <v>728</v>
      </c>
      <c r="F27" s="3"/>
      <c r="G27" s="3"/>
    </row>
    <row r="28" spans="1:7" ht="18.75" hidden="1">
      <c r="A28" s="4" t="s">
        <v>422</v>
      </c>
      <c r="B28" s="4"/>
      <c r="F28" s="3"/>
      <c r="G28" s="3"/>
    </row>
    <row r="29" spans="2:7" ht="18.75">
      <c r="B29" s="4"/>
      <c r="F29" s="3"/>
      <c r="G29" s="3"/>
    </row>
    <row r="30" spans="1:7" ht="18.75">
      <c r="A30" s="693" t="s">
        <v>144</v>
      </c>
      <c r="B30" s="694"/>
      <c r="C30" s="695"/>
      <c r="D30" s="692" t="s">
        <v>143</v>
      </c>
      <c r="E30" s="692"/>
      <c r="F30" s="692" t="s">
        <v>142</v>
      </c>
      <c r="G30" s="692"/>
    </row>
    <row r="31" spans="1:7" ht="18.75">
      <c r="A31" s="123"/>
      <c r="B31" s="124"/>
      <c r="C31" s="126"/>
      <c r="D31" s="123"/>
      <c r="E31" s="126"/>
      <c r="F31" s="123"/>
      <c r="G31" s="126"/>
    </row>
    <row r="32" spans="1:7" ht="18.75">
      <c r="A32" s="696" t="s">
        <v>351</v>
      </c>
      <c r="B32" s="697"/>
      <c r="C32" s="698"/>
      <c r="D32" s="696" t="s">
        <v>642</v>
      </c>
      <c r="E32" s="698"/>
      <c r="F32" s="696" t="str">
        <f>+A32</f>
        <v>(นางสาววรรณา  ผลบุญ)</v>
      </c>
      <c r="G32" s="698"/>
    </row>
    <row r="33" spans="1:7" ht="18.75">
      <c r="A33" s="696" t="s">
        <v>570</v>
      </c>
      <c r="B33" s="697"/>
      <c r="C33" s="698"/>
      <c r="D33" s="696" t="s">
        <v>36</v>
      </c>
      <c r="E33" s="698"/>
      <c r="F33" s="696" t="str">
        <f>+A33</f>
        <v>นักวิชาการเงินและบัญชี</v>
      </c>
      <c r="G33" s="698"/>
    </row>
    <row r="34" spans="1:7" ht="18.75">
      <c r="A34" s="127"/>
      <c r="B34" s="128"/>
      <c r="C34" s="133"/>
      <c r="D34" s="687"/>
      <c r="E34" s="688"/>
      <c r="F34" s="127"/>
      <c r="G34" s="133"/>
    </row>
    <row r="35" ht="18.75">
      <c r="G35" s="118" t="s">
        <v>625</v>
      </c>
    </row>
    <row r="36" ht="18.75">
      <c r="G36" s="118" t="s">
        <v>623</v>
      </c>
    </row>
    <row r="37" spans="1:7" ht="18.75">
      <c r="A37" s="700" t="s">
        <v>153</v>
      </c>
      <c r="B37" s="700"/>
      <c r="C37" s="700"/>
      <c r="D37" s="700"/>
      <c r="E37" s="700"/>
      <c r="F37" s="700"/>
      <c r="G37" s="700"/>
    </row>
    <row r="38" ht="18.75">
      <c r="A38" s="4" t="s">
        <v>138</v>
      </c>
    </row>
    <row r="39" spans="1:7" ht="18.75">
      <c r="A39" s="503" t="s">
        <v>0</v>
      </c>
      <c r="B39" s="504"/>
      <c r="C39" s="504"/>
      <c r="D39" s="504"/>
      <c r="E39" s="444" t="s">
        <v>139</v>
      </c>
      <c r="F39" s="444" t="s">
        <v>40</v>
      </c>
      <c r="G39" s="444" t="s">
        <v>1</v>
      </c>
    </row>
    <row r="40" spans="1:7" ht="18.75">
      <c r="A40" s="144" t="s">
        <v>427</v>
      </c>
      <c r="B40" s="505"/>
      <c r="C40" s="505"/>
      <c r="D40" s="505"/>
      <c r="E40" s="147">
        <v>410000</v>
      </c>
      <c r="F40" s="135">
        <v>87000</v>
      </c>
      <c r="G40" s="135"/>
    </row>
    <row r="41" spans="1:7" ht="18.75">
      <c r="A41" s="136"/>
      <c r="B41" s="124" t="s">
        <v>152</v>
      </c>
      <c r="E41" s="146">
        <v>110606</v>
      </c>
      <c r="F41" s="145"/>
      <c r="G41" s="125">
        <f>+F40</f>
        <v>87000</v>
      </c>
    </row>
    <row r="42" spans="1:7" ht="18.75">
      <c r="A42" s="138"/>
      <c r="B42" s="124"/>
      <c r="E42" s="145"/>
      <c r="F42" s="145"/>
      <c r="G42" s="125"/>
    </row>
    <row r="43" spans="1:7" ht="18.75">
      <c r="A43" s="138"/>
      <c r="B43" s="124"/>
      <c r="E43" s="145"/>
      <c r="F43" s="145"/>
      <c r="G43" s="125"/>
    </row>
    <row r="44" spans="1:7" ht="18.75">
      <c r="A44" s="138"/>
      <c r="B44" s="124"/>
      <c r="E44" s="145"/>
      <c r="F44" s="145"/>
      <c r="G44" s="125"/>
    </row>
    <row r="45" spans="1:7" ht="18.75">
      <c r="A45" s="123"/>
      <c r="B45" s="124"/>
      <c r="E45" s="145"/>
      <c r="F45" s="145"/>
      <c r="G45" s="125"/>
    </row>
    <row r="46" spans="1:7" ht="18.75">
      <c r="A46" s="123"/>
      <c r="B46" s="124"/>
      <c r="E46" s="145"/>
      <c r="F46" s="145"/>
      <c r="G46" s="125"/>
    </row>
    <row r="47" spans="1:7" ht="18.75">
      <c r="A47" s="123"/>
      <c r="B47" s="124"/>
      <c r="E47" s="145"/>
      <c r="F47" s="145"/>
      <c r="G47" s="125"/>
    </row>
    <row r="48" spans="1:7" ht="18.75">
      <c r="A48" s="123"/>
      <c r="B48" s="124"/>
      <c r="E48" s="145"/>
      <c r="F48" s="145"/>
      <c r="G48" s="125"/>
    </row>
    <row r="49" spans="1:7" ht="18.75">
      <c r="A49" s="123"/>
      <c r="B49" s="124"/>
      <c r="E49" s="145"/>
      <c r="F49" s="145"/>
      <c r="G49" s="125"/>
    </row>
    <row r="50" spans="1:7" ht="18.75">
      <c r="A50" s="123"/>
      <c r="B50" s="124"/>
      <c r="E50" s="145"/>
      <c r="F50" s="145"/>
      <c r="G50" s="125"/>
    </row>
    <row r="51" spans="1:7" ht="18.75">
      <c r="A51" s="123"/>
      <c r="B51" s="124"/>
      <c r="E51" s="145"/>
      <c r="F51" s="145"/>
      <c r="G51" s="125"/>
    </row>
    <row r="52" spans="1:7" ht="18.75">
      <c r="A52" s="123"/>
      <c r="B52" s="124"/>
      <c r="E52" s="145"/>
      <c r="F52" s="145"/>
      <c r="G52" s="125"/>
    </row>
    <row r="53" spans="1:7" ht="18.75">
      <c r="A53" s="123"/>
      <c r="B53" s="124"/>
      <c r="E53" s="145"/>
      <c r="F53" s="145"/>
      <c r="G53" s="125"/>
    </row>
    <row r="54" spans="1:7" ht="18.75">
      <c r="A54" s="123"/>
      <c r="B54" s="124"/>
      <c r="E54" s="145"/>
      <c r="F54" s="145"/>
      <c r="G54" s="125"/>
    </row>
    <row r="55" spans="1:7" ht="18.75">
      <c r="A55" s="123"/>
      <c r="B55" s="124"/>
      <c r="E55" s="145"/>
      <c r="F55" s="145"/>
      <c r="G55" s="125"/>
    </row>
    <row r="56" spans="1:7" ht="18.75">
      <c r="A56" s="127"/>
      <c r="B56" s="128"/>
      <c r="C56" s="128"/>
      <c r="D56" s="128"/>
      <c r="E56" s="127"/>
      <c r="F56" s="129"/>
      <c r="G56" s="129"/>
    </row>
    <row r="57" spans="6:7" ht="19.5" thickBot="1">
      <c r="F57" s="130">
        <f>SUM(F40:F56)</f>
        <v>87000</v>
      </c>
      <c r="G57" s="130">
        <f>SUM(G40:G56)</f>
        <v>87000</v>
      </c>
    </row>
    <row r="58" spans="6:7" ht="19.5" thickTop="1">
      <c r="F58" s="3"/>
      <c r="G58" s="3"/>
    </row>
    <row r="59" spans="1:7" ht="18.75">
      <c r="A59" s="4" t="s">
        <v>141</v>
      </c>
      <c r="B59" s="4" t="s">
        <v>626</v>
      </c>
      <c r="F59" s="3"/>
      <c r="G59" s="131"/>
    </row>
    <row r="60" spans="1:7" ht="18.75">
      <c r="A60" s="4" t="s">
        <v>627</v>
      </c>
      <c r="F60" s="3"/>
      <c r="G60" s="3"/>
    </row>
    <row r="61" spans="1:7" ht="18.75">
      <c r="A61" s="4" t="s">
        <v>422</v>
      </c>
      <c r="B61" s="4"/>
      <c r="F61" s="3"/>
      <c r="G61" s="3"/>
    </row>
    <row r="62" spans="2:7" ht="18.75">
      <c r="B62" s="4"/>
      <c r="F62" s="3"/>
      <c r="G62" s="3"/>
    </row>
  </sheetData>
  <sheetProtection/>
  <mergeCells count="12">
    <mergeCell ref="A33:C33"/>
    <mergeCell ref="D33:E33"/>
    <mergeCell ref="F33:G33"/>
    <mergeCell ref="D34:E34"/>
    <mergeCell ref="A37:G37"/>
    <mergeCell ref="A32:C32"/>
    <mergeCell ref="D32:E32"/>
    <mergeCell ref="F32:G32"/>
    <mergeCell ref="A3:G3"/>
    <mergeCell ref="A30:C30"/>
    <mergeCell ref="D30:E30"/>
    <mergeCell ref="F30:G30"/>
  </mergeCells>
  <printOptions/>
  <pageMargins left="0.7874015748031497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G157"/>
  <sheetViews>
    <sheetView view="pageBreakPreview" zoomScale="110" zoomScaleSheetLayoutView="110" zoomScalePageLayoutView="0" workbookViewId="0" topLeftCell="A1">
      <pane xSplit="4" ySplit="1" topLeftCell="AK13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42" sqref="D142"/>
    </sheetView>
  </sheetViews>
  <sheetFormatPr defaultColWidth="9.140625" defaultRowHeight="12.75"/>
  <cols>
    <col min="1" max="3" width="1.7109375" style="6" customWidth="1"/>
    <col min="4" max="4" width="40.57421875" style="6" customWidth="1"/>
    <col min="5" max="12" width="13.8515625" style="7" customWidth="1"/>
    <col min="13" max="18" width="13.57421875" style="7" customWidth="1"/>
    <col min="19" max="23" width="15.140625" style="7" customWidth="1"/>
    <col min="24" max="24" width="13.28125" style="7" customWidth="1"/>
    <col min="25" max="25" width="11.421875" style="7" customWidth="1"/>
    <col min="26" max="27" width="12.421875" style="7" customWidth="1"/>
    <col min="28" max="28" width="12.8515625" style="7" customWidth="1"/>
    <col min="29" max="29" width="13.140625" style="7" customWidth="1"/>
    <col min="30" max="30" width="12.8515625" style="7" customWidth="1"/>
    <col min="31" max="31" width="12.140625" style="538" customWidth="1"/>
    <col min="32" max="32" width="12.8515625" style="538" customWidth="1"/>
    <col min="33" max="33" width="12.8515625" style="7" customWidth="1"/>
    <col min="34" max="34" width="12.7109375" style="7" customWidth="1"/>
    <col min="35" max="36" width="12.140625" style="7" customWidth="1"/>
    <col min="37" max="37" width="13.28125" style="7" customWidth="1"/>
    <col min="38" max="38" width="13.421875" style="7" customWidth="1"/>
    <col min="39" max="39" width="13.8515625" style="7" customWidth="1"/>
    <col min="40" max="42" width="13.421875" style="7" customWidth="1"/>
    <col min="43" max="43" width="15.00390625" style="7" customWidth="1"/>
    <col min="44" max="44" width="15.28125" style="7" customWidth="1"/>
    <col min="45" max="45" width="13.00390625" style="7" customWidth="1"/>
    <col min="46" max="46" width="12.8515625" style="7" customWidth="1"/>
    <col min="47" max="47" width="12.140625" style="7" customWidth="1"/>
    <col min="48" max="48" width="12.28125" style="7" customWidth="1"/>
    <col min="49" max="50" width="11.28125" style="7" customWidth="1"/>
    <col min="51" max="53" width="12.28125" style="7" customWidth="1"/>
    <col min="54" max="54" width="12.421875" style="7" customWidth="1"/>
    <col min="55" max="55" width="11.57421875" style="7" customWidth="1"/>
    <col min="56" max="56" width="11.140625" style="7" customWidth="1"/>
    <col min="57" max="58" width="11.28125" style="7" customWidth="1"/>
    <col min="59" max="59" width="12.421875" style="7" customWidth="1"/>
    <col min="60" max="60" width="12.28125" style="7" customWidth="1"/>
    <col min="61" max="61" width="11.421875" style="7" customWidth="1"/>
    <col min="62" max="62" width="12.140625" style="7" customWidth="1"/>
    <col min="63" max="64" width="11.140625" style="7" customWidth="1"/>
    <col min="65" max="65" width="12.140625" style="7" customWidth="1"/>
    <col min="66" max="66" width="12.00390625" style="7" customWidth="1"/>
    <col min="67" max="70" width="11.421875" style="7" customWidth="1"/>
    <col min="71" max="71" width="12.421875" style="7" customWidth="1"/>
    <col min="72" max="72" width="12.140625" style="7" customWidth="1"/>
    <col min="73" max="73" width="11.57421875" style="7" customWidth="1"/>
    <col min="74" max="82" width="12.7109375" style="7" customWidth="1"/>
    <col min="83" max="84" width="12.28125" style="7" bestFit="1" customWidth="1"/>
    <col min="85" max="85" width="11.7109375" style="6" bestFit="1" customWidth="1"/>
    <col min="86" max="16384" width="9.140625" style="6" customWidth="1"/>
  </cols>
  <sheetData>
    <row r="1" spans="1:84" s="212" customFormat="1" ht="15.75">
      <c r="A1" s="720" t="s">
        <v>0</v>
      </c>
      <c r="B1" s="721"/>
      <c r="C1" s="721"/>
      <c r="D1" s="722"/>
      <c r="E1" s="713" t="s">
        <v>572</v>
      </c>
      <c r="F1" s="712"/>
      <c r="G1" s="713" t="s">
        <v>72</v>
      </c>
      <c r="H1" s="712"/>
      <c r="I1" s="711" t="s">
        <v>180</v>
      </c>
      <c r="J1" s="712"/>
      <c r="K1" s="711" t="s">
        <v>573</v>
      </c>
      <c r="L1" s="712"/>
      <c r="M1" s="713" t="s">
        <v>617</v>
      </c>
      <c r="N1" s="712"/>
      <c r="O1" s="711" t="s">
        <v>180</v>
      </c>
      <c r="P1" s="712"/>
      <c r="Q1" s="711" t="s">
        <v>618</v>
      </c>
      <c r="R1" s="712"/>
      <c r="S1" s="713" t="s">
        <v>619</v>
      </c>
      <c r="T1" s="712"/>
      <c r="U1" s="711" t="s">
        <v>180</v>
      </c>
      <c r="V1" s="712"/>
      <c r="W1" s="711" t="s">
        <v>620</v>
      </c>
      <c r="X1" s="712"/>
      <c r="Y1" s="713" t="s">
        <v>656</v>
      </c>
      <c r="Z1" s="712"/>
      <c r="AA1" s="711" t="s">
        <v>180</v>
      </c>
      <c r="AB1" s="712"/>
      <c r="AC1" s="713" t="s">
        <v>661</v>
      </c>
      <c r="AD1" s="712"/>
      <c r="AE1" s="713" t="s">
        <v>657</v>
      </c>
      <c r="AF1" s="712"/>
      <c r="AG1" s="711" t="s">
        <v>180</v>
      </c>
      <c r="AH1" s="712"/>
      <c r="AI1" s="711" t="s">
        <v>658</v>
      </c>
      <c r="AJ1" s="712"/>
      <c r="AK1" s="713" t="s">
        <v>742</v>
      </c>
      <c r="AL1" s="712"/>
      <c r="AM1" s="714" t="s">
        <v>180</v>
      </c>
      <c r="AN1" s="715"/>
      <c r="AO1" s="711" t="s">
        <v>659</v>
      </c>
      <c r="AP1" s="712"/>
      <c r="AQ1" s="713" t="s">
        <v>660</v>
      </c>
      <c r="AR1" s="712"/>
      <c r="AS1" s="711" t="s">
        <v>180</v>
      </c>
      <c r="AT1" s="712"/>
      <c r="AU1" s="711" t="s">
        <v>455</v>
      </c>
      <c r="AV1" s="712"/>
      <c r="AW1" s="713" t="s">
        <v>456</v>
      </c>
      <c r="AX1" s="712"/>
      <c r="AY1" s="711" t="s">
        <v>180</v>
      </c>
      <c r="AZ1" s="712"/>
      <c r="BA1" s="711" t="s">
        <v>457</v>
      </c>
      <c r="BB1" s="712"/>
      <c r="BC1" s="713" t="s">
        <v>458</v>
      </c>
      <c r="BD1" s="712"/>
      <c r="BE1" s="711" t="s">
        <v>180</v>
      </c>
      <c r="BF1" s="712"/>
      <c r="BG1" s="711" t="s">
        <v>459</v>
      </c>
      <c r="BH1" s="712"/>
      <c r="BI1" s="713" t="s">
        <v>453</v>
      </c>
      <c r="BJ1" s="712"/>
      <c r="BK1" s="711" t="s">
        <v>180</v>
      </c>
      <c r="BL1" s="712"/>
      <c r="BM1" s="711" t="s">
        <v>454</v>
      </c>
      <c r="BN1" s="712"/>
      <c r="BO1" s="713" t="s">
        <v>470</v>
      </c>
      <c r="BP1" s="712"/>
      <c r="BQ1" s="711" t="s">
        <v>180</v>
      </c>
      <c r="BR1" s="712"/>
      <c r="BS1" s="711" t="s">
        <v>471</v>
      </c>
      <c r="BT1" s="712"/>
      <c r="BU1" s="713" t="s">
        <v>333</v>
      </c>
      <c r="BV1" s="712"/>
      <c r="BW1" s="711" t="s">
        <v>180</v>
      </c>
      <c r="BX1" s="712"/>
      <c r="BY1" s="711" t="s">
        <v>496</v>
      </c>
      <c r="BZ1" s="712"/>
      <c r="CA1" s="711" t="s">
        <v>332</v>
      </c>
      <c r="CB1" s="712"/>
      <c r="CC1" s="711" t="s">
        <v>497</v>
      </c>
      <c r="CD1" s="712"/>
      <c r="CE1" s="268"/>
      <c r="CF1" s="268"/>
    </row>
    <row r="2" spans="1:84" s="212" customFormat="1" ht="15.75">
      <c r="A2" s="720"/>
      <c r="B2" s="721"/>
      <c r="C2" s="721"/>
      <c r="D2" s="722"/>
      <c r="E2" s="269" t="s">
        <v>73</v>
      </c>
      <c r="F2" s="269" t="s">
        <v>74</v>
      </c>
      <c r="G2" s="269" t="s">
        <v>73</v>
      </c>
      <c r="H2" s="269" t="s">
        <v>74</v>
      </c>
      <c r="I2" s="269" t="s">
        <v>73</v>
      </c>
      <c r="J2" s="269" t="s">
        <v>74</v>
      </c>
      <c r="K2" s="269" t="s">
        <v>73</v>
      </c>
      <c r="L2" s="269" t="s">
        <v>74</v>
      </c>
      <c r="M2" s="269" t="s">
        <v>73</v>
      </c>
      <c r="N2" s="269" t="s">
        <v>74</v>
      </c>
      <c r="O2" s="269" t="s">
        <v>73</v>
      </c>
      <c r="P2" s="269" t="s">
        <v>74</v>
      </c>
      <c r="Q2" s="269" t="s">
        <v>73</v>
      </c>
      <c r="R2" s="269" t="s">
        <v>74</v>
      </c>
      <c r="S2" s="269" t="s">
        <v>73</v>
      </c>
      <c r="T2" s="269" t="s">
        <v>74</v>
      </c>
      <c r="U2" s="269" t="s">
        <v>73</v>
      </c>
      <c r="V2" s="269" t="s">
        <v>74</v>
      </c>
      <c r="W2" s="269" t="s">
        <v>73</v>
      </c>
      <c r="X2" s="269" t="s">
        <v>74</v>
      </c>
      <c r="Y2" s="269" t="s">
        <v>73</v>
      </c>
      <c r="Z2" s="269" t="s">
        <v>74</v>
      </c>
      <c r="AA2" s="269" t="s">
        <v>73</v>
      </c>
      <c r="AB2" s="269" t="s">
        <v>74</v>
      </c>
      <c r="AC2" s="269" t="s">
        <v>73</v>
      </c>
      <c r="AD2" s="269" t="s">
        <v>74</v>
      </c>
      <c r="AE2" s="269" t="s">
        <v>73</v>
      </c>
      <c r="AF2" s="269" t="s">
        <v>74</v>
      </c>
      <c r="AG2" s="269" t="s">
        <v>73</v>
      </c>
      <c r="AH2" s="269" t="s">
        <v>74</v>
      </c>
      <c r="AI2" s="269" t="s">
        <v>73</v>
      </c>
      <c r="AJ2" s="269" t="s">
        <v>74</v>
      </c>
      <c r="AK2" s="269" t="s">
        <v>73</v>
      </c>
      <c r="AL2" s="269" t="s">
        <v>74</v>
      </c>
      <c r="AM2" s="270" t="s">
        <v>73</v>
      </c>
      <c r="AN2" s="270" t="s">
        <v>74</v>
      </c>
      <c r="AO2" s="269" t="s">
        <v>73</v>
      </c>
      <c r="AP2" s="269" t="s">
        <v>74</v>
      </c>
      <c r="AQ2" s="269" t="s">
        <v>73</v>
      </c>
      <c r="AR2" s="269" t="s">
        <v>74</v>
      </c>
      <c r="AS2" s="269" t="s">
        <v>73</v>
      </c>
      <c r="AT2" s="269" t="s">
        <v>74</v>
      </c>
      <c r="AU2" s="269" t="s">
        <v>73</v>
      </c>
      <c r="AV2" s="269" t="s">
        <v>74</v>
      </c>
      <c r="AW2" s="269" t="s">
        <v>73</v>
      </c>
      <c r="AX2" s="269" t="s">
        <v>74</v>
      </c>
      <c r="AY2" s="269" t="s">
        <v>73</v>
      </c>
      <c r="AZ2" s="269" t="s">
        <v>74</v>
      </c>
      <c r="BA2" s="269" t="s">
        <v>73</v>
      </c>
      <c r="BB2" s="269" t="s">
        <v>74</v>
      </c>
      <c r="BC2" s="269" t="s">
        <v>73</v>
      </c>
      <c r="BD2" s="269" t="s">
        <v>74</v>
      </c>
      <c r="BE2" s="269" t="s">
        <v>73</v>
      </c>
      <c r="BF2" s="269" t="s">
        <v>74</v>
      </c>
      <c r="BG2" s="269" t="s">
        <v>73</v>
      </c>
      <c r="BH2" s="269" t="s">
        <v>74</v>
      </c>
      <c r="BI2" s="269" t="s">
        <v>73</v>
      </c>
      <c r="BJ2" s="269" t="s">
        <v>74</v>
      </c>
      <c r="BK2" s="269" t="s">
        <v>73</v>
      </c>
      <c r="BL2" s="269" t="s">
        <v>74</v>
      </c>
      <c r="BM2" s="269" t="s">
        <v>73</v>
      </c>
      <c r="BN2" s="269" t="s">
        <v>74</v>
      </c>
      <c r="BO2" s="269" t="s">
        <v>73</v>
      </c>
      <c r="BP2" s="269" t="s">
        <v>74</v>
      </c>
      <c r="BQ2" s="269" t="s">
        <v>73</v>
      </c>
      <c r="BR2" s="269" t="s">
        <v>74</v>
      </c>
      <c r="BS2" s="269" t="s">
        <v>73</v>
      </c>
      <c r="BT2" s="269" t="s">
        <v>74</v>
      </c>
      <c r="BU2" s="269" t="s">
        <v>73</v>
      </c>
      <c r="BV2" s="269" t="s">
        <v>74</v>
      </c>
      <c r="BW2" s="269" t="s">
        <v>73</v>
      </c>
      <c r="BX2" s="269" t="s">
        <v>74</v>
      </c>
      <c r="BY2" s="269" t="s">
        <v>73</v>
      </c>
      <c r="BZ2" s="269" t="s">
        <v>74</v>
      </c>
      <c r="CA2" s="269" t="s">
        <v>73</v>
      </c>
      <c r="CB2" s="269" t="s">
        <v>74</v>
      </c>
      <c r="CC2" s="269" t="s">
        <v>73</v>
      </c>
      <c r="CD2" s="269" t="s">
        <v>74</v>
      </c>
      <c r="CE2" s="268"/>
      <c r="CF2" s="268"/>
    </row>
    <row r="3" spans="1:84" s="31" customFormat="1" ht="15.75">
      <c r="A3" s="716" t="s">
        <v>121</v>
      </c>
      <c r="B3" s="717"/>
      <c r="C3" s="717"/>
      <c r="D3" s="717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536"/>
      <c r="AF3" s="536"/>
      <c r="AG3" s="30"/>
      <c r="AH3" s="30"/>
      <c r="AI3" s="30"/>
      <c r="AJ3" s="30"/>
      <c r="AK3" s="30"/>
      <c r="AL3" s="30"/>
      <c r="AM3" s="189"/>
      <c r="AN3" s="189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164"/>
      <c r="CF3" s="164"/>
    </row>
    <row r="4" spans="1:82" ht="15.75">
      <c r="A4" s="14" t="s">
        <v>75</v>
      </c>
      <c r="B4" s="32"/>
      <c r="C4" s="32"/>
      <c r="D4" s="32"/>
      <c r="E4" s="13">
        <v>5463.61</v>
      </c>
      <c r="F4" s="13">
        <v>0</v>
      </c>
      <c r="G4" s="13">
        <v>0</v>
      </c>
      <c r="H4" s="13">
        <v>5463.61</v>
      </c>
      <c r="I4" s="13"/>
      <c r="J4" s="13"/>
      <c r="K4" s="13">
        <f>SUM(E4+G4-H4+I4-J4)</f>
        <v>0</v>
      </c>
      <c r="L4" s="13"/>
      <c r="M4" s="13"/>
      <c r="N4" s="13"/>
      <c r="O4" s="13"/>
      <c r="P4" s="13"/>
      <c r="Q4" s="13">
        <f>SUM(K4+M4-N4+O4-P4)</f>
        <v>0</v>
      </c>
      <c r="R4" s="13"/>
      <c r="S4" s="13"/>
      <c r="T4" s="13"/>
      <c r="U4" s="13"/>
      <c r="V4" s="13"/>
      <c r="W4" s="13">
        <f>SUM(Q4+S4-T4+U4-V4)</f>
        <v>0</v>
      </c>
      <c r="X4" s="13"/>
      <c r="Y4" s="13">
        <v>61.9</v>
      </c>
      <c r="Z4" s="13"/>
      <c r="AA4" s="13"/>
      <c r="AB4" s="13"/>
      <c r="AC4" s="13">
        <f>SUM(W4+Y4-Z4+AA4-AB4)</f>
        <v>61.9</v>
      </c>
      <c r="AD4" s="13"/>
      <c r="AE4" s="13">
        <v>600</v>
      </c>
      <c r="AF4" s="13">
        <v>61.9</v>
      </c>
      <c r="AG4" s="13"/>
      <c r="AH4" s="13"/>
      <c r="AI4" s="13">
        <f>SUM(AC4+AE4-AF4+AG4-AH4)</f>
        <v>600</v>
      </c>
      <c r="AJ4" s="13"/>
      <c r="AK4" s="13">
        <v>639.82</v>
      </c>
      <c r="AL4" s="13">
        <v>600</v>
      </c>
      <c r="AM4" s="13"/>
      <c r="AN4" s="13"/>
      <c r="AO4" s="13">
        <f>SUM(AI4+AK4-AL4+AM4-AN4)</f>
        <v>639.8200000000002</v>
      </c>
      <c r="AP4" s="13"/>
      <c r="AQ4" s="13"/>
      <c r="AR4" s="13"/>
      <c r="AS4" s="13"/>
      <c r="AT4" s="13"/>
      <c r="AU4" s="13">
        <f>SUM(AO4+AQ4-AR4+AS4-AT4)</f>
        <v>639.8200000000002</v>
      </c>
      <c r="AV4" s="13"/>
      <c r="AW4" s="13"/>
      <c r="AX4" s="13">
        <v>34.68</v>
      </c>
      <c r="AY4" s="13"/>
      <c r="AZ4" s="13"/>
      <c r="BA4" s="13">
        <f>SUM(AU4+AW4-AX4+AY4-AZ4)</f>
        <v>605.1400000000002</v>
      </c>
      <c r="BB4" s="13"/>
      <c r="BC4" s="13">
        <v>842.96</v>
      </c>
      <c r="BD4" s="13"/>
      <c r="BE4" s="13"/>
      <c r="BF4" s="13"/>
      <c r="BG4" s="13">
        <f>SUM(BA4+BC4-BD4+BE4-BF4)</f>
        <v>1448.1000000000004</v>
      </c>
      <c r="BH4" s="13"/>
      <c r="BI4" s="13"/>
      <c r="BJ4" s="13">
        <v>842.96</v>
      </c>
      <c r="BK4" s="13"/>
      <c r="BL4" s="13"/>
      <c r="BM4" s="13">
        <f>SUM(BG4+BI4-BJ4+BK4-BL4)</f>
        <v>605.1400000000003</v>
      </c>
      <c r="BN4" s="13"/>
      <c r="BO4" s="13">
        <v>23532.5</v>
      </c>
      <c r="BP4" s="13"/>
      <c r="BQ4" s="13"/>
      <c r="BR4" s="13"/>
      <c r="BS4" s="13">
        <f>SUM(BM4+BO4-BP4+BQ4-BR4)</f>
        <v>24137.64</v>
      </c>
      <c r="BT4" s="13"/>
      <c r="BU4" s="13">
        <v>5463.61</v>
      </c>
      <c r="BV4" s="13">
        <v>23532.5</v>
      </c>
      <c r="BW4" s="13"/>
      <c r="BX4" s="13"/>
      <c r="BY4" s="13">
        <f>SUM(BS4+BU4-BV4+BW4-BX4)</f>
        <v>6068.75</v>
      </c>
      <c r="BZ4" s="13"/>
      <c r="CA4" s="13"/>
      <c r="CB4" s="13"/>
      <c r="CC4" s="13">
        <f>SUM(BW4+BY4-BZ4+CA4-CB4)</f>
        <v>6068.75</v>
      </c>
      <c r="CD4" s="13"/>
    </row>
    <row r="5" spans="1:84" s="267" customFormat="1" ht="15.75">
      <c r="A5" s="263" t="s">
        <v>76</v>
      </c>
      <c r="B5" s="264"/>
      <c r="C5" s="264"/>
      <c r="D5" s="264"/>
      <c r="E5" s="201">
        <f>SUM(E6:E17)</f>
        <v>26866149.44</v>
      </c>
      <c r="F5" s="201">
        <f aca="true" t="shared" si="0" ref="F5:BQ5">SUM(F6:F17)</f>
        <v>0</v>
      </c>
      <c r="G5" s="201">
        <f>SUM(G6:G17)</f>
        <v>670011.84</v>
      </c>
      <c r="H5" s="201">
        <f>SUM(H6:H17)</f>
        <v>2167559.51</v>
      </c>
      <c r="I5" s="201">
        <f t="shared" si="0"/>
        <v>12167559.51</v>
      </c>
      <c r="J5" s="201">
        <f t="shared" si="0"/>
        <v>12169267.18</v>
      </c>
      <c r="K5" s="201">
        <f>SUM(K6:K17)</f>
        <v>25366894.1</v>
      </c>
      <c r="L5" s="201">
        <f t="shared" si="0"/>
        <v>0</v>
      </c>
      <c r="M5" s="201">
        <f t="shared" si="0"/>
        <v>5618297.590000001</v>
      </c>
      <c r="N5" s="201">
        <f t="shared" si="0"/>
        <v>3458985.86</v>
      </c>
      <c r="O5" s="201">
        <f t="shared" si="0"/>
        <v>3458985.86</v>
      </c>
      <c r="P5" s="201">
        <f t="shared" si="0"/>
        <v>3458985.86</v>
      </c>
      <c r="Q5" s="201">
        <f>SUM(Q6:Q17)</f>
        <v>27526205.830000006</v>
      </c>
      <c r="R5" s="201">
        <f t="shared" si="0"/>
        <v>0</v>
      </c>
      <c r="S5" s="201">
        <f t="shared" si="0"/>
        <v>17380851.66</v>
      </c>
      <c r="T5" s="201">
        <f t="shared" si="0"/>
        <v>3223989.29</v>
      </c>
      <c r="U5" s="201">
        <f t="shared" si="0"/>
        <v>3223989.29</v>
      </c>
      <c r="V5" s="201">
        <f t="shared" si="0"/>
        <v>3223989.29</v>
      </c>
      <c r="W5" s="201">
        <f t="shared" si="0"/>
        <v>41683068.20000001</v>
      </c>
      <c r="X5" s="201">
        <f t="shared" si="0"/>
        <v>0</v>
      </c>
      <c r="Y5" s="201">
        <f>SUM(Y6:Y17)</f>
        <v>2550341.93</v>
      </c>
      <c r="Z5" s="201">
        <f>SUM(Z6:Z17)</f>
        <v>3733908.2800000003</v>
      </c>
      <c r="AA5" s="201">
        <f t="shared" si="0"/>
        <v>13733908.280000001</v>
      </c>
      <c r="AB5" s="201">
        <f t="shared" si="0"/>
        <v>13733908.280000001</v>
      </c>
      <c r="AC5" s="201">
        <f>SUM(AC6:AC17)</f>
        <v>40499501.85000001</v>
      </c>
      <c r="AD5" s="201">
        <f t="shared" si="0"/>
        <v>0</v>
      </c>
      <c r="AE5" s="201">
        <f>SUM(AE6:AE17)</f>
        <v>10434820.07</v>
      </c>
      <c r="AF5" s="201">
        <f>SUM(AF6:AF17)</f>
        <v>2882898.35</v>
      </c>
      <c r="AG5" s="201">
        <f>SUM(AG6:AG17)</f>
        <v>2889287.0900000003</v>
      </c>
      <c r="AH5" s="201">
        <f>SUM(AH6:AH17)</f>
        <v>2889287.0900000003</v>
      </c>
      <c r="AI5" s="201">
        <f>SUM(AI6:AI17)</f>
        <v>48051423.57000001</v>
      </c>
      <c r="AJ5" s="201">
        <f t="shared" si="0"/>
        <v>0</v>
      </c>
      <c r="AK5" s="201">
        <f>SUM(AK6:AK17)</f>
        <v>514165.95</v>
      </c>
      <c r="AL5" s="201">
        <f t="shared" si="0"/>
        <v>6005384.79</v>
      </c>
      <c r="AM5" s="265">
        <f t="shared" si="0"/>
        <v>16005384.79</v>
      </c>
      <c r="AN5" s="265">
        <f t="shared" si="0"/>
        <v>16005384.79</v>
      </c>
      <c r="AO5" s="201">
        <f>SUM(AO6:AO17)</f>
        <v>42560204.73000001</v>
      </c>
      <c r="AP5" s="201">
        <f t="shared" si="0"/>
        <v>0</v>
      </c>
      <c r="AQ5" s="201">
        <f t="shared" si="0"/>
        <v>0</v>
      </c>
      <c r="AR5" s="201">
        <f t="shared" si="0"/>
        <v>0</v>
      </c>
      <c r="AS5" s="201">
        <f t="shared" si="0"/>
        <v>0</v>
      </c>
      <c r="AT5" s="201">
        <f t="shared" si="0"/>
        <v>0</v>
      </c>
      <c r="AU5" s="201">
        <f>SUM(AU6:AU17)</f>
        <v>42560204.73000001</v>
      </c>
      <c r="AV5" s="201">
        <f t="shared" si="0"/>
        <v>0</v>
      </c>
      <c r="AW5" s="201">
        <f>SUM(AW6:AW17)</f>
        <v>4742722.54</v>
      </c>
      <c r="AX5" s="201">
        <f>SUM(AX6:AX17)</f>
        <v>3649812.69</v>
      </c>
      <c r="AY5" s="201">
        <f t="shared" si="0"/>
        <v>3649812.69</v>
      </c>
      <c r="AZ5" s="201">
        <f>SUM(AZ6:AZ17)</f>
        <v>3649812.69</v>
      </c>
      <c r="BA5" s="201">
        <f>SUM(BA6:BA17)</f>
        <v>43653114.58000001</v>
      </c>
      <c r="BB5" s="201">
        <f t="shared" si="0"/>
        <v>0</v>
      </c>
      <c r="BC5" s="201">
        <f t="shared" si="0"/>
        <v>1181029.3399999999</v>
      </c>
      <c r="BD5" s="201">
        <f t="shared" si="0"/>
        <v>3883403.13</v>
      </c>
      <c r="BE5" s="201">
        <f t="shared" si="0"/>
        <v>3883403.13</v>
      </c>
      <c r="BF5" s="201">
        <f t="shared" si="0"/>
        <v>3883403.13</v>
      </c>
      <c r="BG5" s="201">
        <f>SUM(BG6:BG17)</f>
        <v>40950740.790000014</v>
      </c>
      <c r="BH5" s="201">
        <f t="shared" si="0"/>
        <v>0</v>
      </c>
      <c r="BI5" s="201">
        <f t="shared" si="0"/>
        <v>2141255.44</v>
      </c>
      <c r="BJ5" s="201">
        <f t="shared" si="0"/>
        <v>5812359.96</v>
      </c>
      <c r="BK5" s="201">
        <f t="shared" si="0"/>
        <v>5762359.96</v>
      </c>
      <c r="BL5" s="201">
        <f t="shared" si="0"/>
        <v>5762359.96</v>
      </c>
      <c r="BM5" s="201">
        <f>SUM(BM6:BM17)</f>
        <v>37279636.27000002</v>
      </c>
      <c r="BN5" s="201">
        <f t="shared" si="0"/>
        <v>0</v>
      </c>
      <c r="BO5" s="201">
        <f t="shared" si="0"/>
        <v>839668.11</v>
      </c>
      <c r="BP5" s="201">
        <f t="shared" si="0"/>
        <v>1437266.5499999998</v>
      </c>
      <c r="BQ5" s="201">
        <f t="shared" si="0"/>
        <v>1437266.5499999998</v>
      </c>
      <c r="BR5" s="201">
        <f aca="true" t="shared" si="1" ref="BR5:CB5">SUM(BR6:BR17)</f>
        <v>1437266.5499999998</v>
      </c>
      <c r="BS5" s="201">
        <f t="shared" si="1"/>
        <v>36682037.83000001</v>
      </c>
      <c r="BT5" s="201">
        <f t="shared" si="1"/>
        <v>0</v>
      </c>
      <c r="BU5" s="201">
        <f t="shared" si="1"/>
        <v>1492983.4099999997</v>
      </c>
      <c r="BV5" s="201">
        <f t="shared" si="1"/>
        <v>4470504.99</v>
      </c>
      <c r="BW5" s="201">
        <f t="shared" si="1"/>
        <v>4470504.99</v>
      </c>
      <c r="BX5" s="201">
        <f t="shared" si="1"/>
        <v>4470504.99</v>
      </c>
      <c r="BY5" s="201">
        <f>SUM(BY6:BY17)</f>
        <v>33704516.25000002</v>
      </c>
      <c r="BZ5" s="201">
        <f t="shared" si="1"/>
        <v>0</v>
      </c>
      <c r="CA5" s="201">
        <f>SUM(CA6:CA17)</f>
        <v>0</v>
      </c>
      <c r="CB5" s="201">
        <f t="shared" si="1"/>
        <v>0</v>
      </c>
      <c r="CC5" s="201">
        <f>SUM(CC6:CC17)</f>
        <v>33704516.25000002</v>
      </c>
      <c r="CD5" s="201">
        <f>SUM(CD6:CD17)</f>
        <v>0</v>
      </c>
      <c r="CE5" s="266"/>
      <c r="CF5" s="266"/>
    </row>
    <row r="6" spans="1:82" ht="15.75">
      <c r="A6" s="14"/>
      <c r="B6" s="32" t="s">
        <v>117</v>
      </c>
      <c r="C6" s="32"/>
      <c r="D6" s="3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524"/>
      <c r="AF6" s="524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</row>
    <row r="7" spans="1:82" ht="15.75">
      <c r="A7" s="14"/>
      <c r="B7" s="32"/>
      <c r="C7" s="32" t="s">
        <v>77</v>
      </c>
      <c r="D7" s="32"/>
      <c r="E7" s="13">
        <v>0</v>
      </c>
      <c r="F7" s="13"/>
      <c r="G7" s="13"/>
      <c r="H7" s="13">
        <v>686652.58</v>
      </c>
      <c r="I7" s="13">
        <v>686652.58</v>
      </c>
      <c r="J7" s="13"/>
      <c r="K7" s="13">
        <f>SUM(E7+G7-H7+I7-J7)</f>
        <v>0</v>
      </c>
      <c r="L7" s="13"/>
      <c r="M7" s="13"/>
      <c r="N7" s="13">
        <v>697770</v>
      </c>
      <c r="O7" s="13">
        <v>697770</v>
      </c>
      <c r="P7" s="13"/>
      <c r="Q7" s="13">
        <f>SUM(K7+M7-N7+O7-P7)</f>
        <v>0</v>
      </c>
      <c r="R7" s="13"/>
      <c r="S7" s="13"/>
      <c r="T7" s="13">
        <v>714458</v>
      </c>
      <c r="U7" s="13">
        <v>714458</v>
      </c>
      <c r="V7" s="13"/>
      <c r="W7" s="13">
        <f>SUM(Q7+S7-T7+U7-V7)</f>
        <v>0</v>
      </c>
      <c r="X7" s="13"/>
      <c r="Y7" s="13"/>
      <c r="Z7" s="13">
        <v>699937.58</v>
      </c>
      <c r="AA7" s="13">
        <v>699937.58</v>
      </c>
      <c r="AB7" s="13"/>
      <c r="AC7" s="13">
        <f>SUM(W7+Y7-Z7+AA7-AB7)</f>
        <v>0</v>
      </c>
      <c r="AD7" s="13"/>
      <c r="AE7" s="524"/>
      <c r="AF7" s="13">
        <v>1054623</v>
      </c>
      <c r="AG7" s="13">
        <v>1054623</v>
      </c>
      <c r="AH7" s="13"/>
      <c r="AI7" s="13">
        <f>SUM(AC7+AE7-AF7+AG7-AH7)</f>
        <v>0</v>
      </c>
      <c r="AJ7" s="13"/>
      <c r="AK7" s="13"/>
      <c r="AL7" s="13">
        <v>722321</v>
      </c>
      <c r="AM7" s="13">
        <f>+AL7</f>
        <v>722321</v>
      </c>
      <c r="AN7" s="13"/>
      <c r="AO7" s="13">
        <f>SUM(AI7+AK7-AL7+AM7-AN7)</f>
        <v>0</v>
      </c>
      <c r="AP7" s="13"/>
      <c r="AQ7" s="13"/>
      <c r="AR7" s="13"/>
      <c r="AS7" s="13"/>
      <c r="AT7" s="13"/>
      <c r="AU7" s="13">
        <f>SUM(AO7+AQ7-AR7+AS7-AT7)</f>
        <v>0</v>
      </c>
      <c r="AV7" s="13"/>
      <c r="AW7" s="13"/>
      <c r="AX7" s="13">
        <v>721957</v>
      </c>
      <c r="AY7" s="13">
        <v>721957</v>
      </c>
      <c r="AZ7" s="13"/>
      <c r="BA7" s="13">
        <f>SUM(AU7+AW7-AX7+AY7-AZ7)</f>
        <v>0</v>
      </c>
      <c r="BB7" s="13"/>
      <c r="BC7" s="13"/>
      <c r="BD7" s="13">
        <v>648245</v>
      </c>
      <c r="BE7" s="13">
        <v>648245</v>
      </c>
      <c r="BF7" s="13"/>
      <c r="BG7" s="13">
        <f>SUM(BA7+BC7-BD7+BE7-BF7)</f>
        <v>0</v>
      </c>
      <c r="BH7" s="13"/>
      <c r="BI7" s="13"/>
      <c r="BJ7" s="13">
        <v>637406.29</v>
      </c>
      <c r="BK7" s="13">
        <v>637406.29</v>
      </c>
      <c r="BL7" s="13"/>
      <c r="BM7" s="13">
        <f>SUM(BG7+BI7-BJ7+BK7-BL7)</f>
        <v>0</v>
      </c>
      <c r="BN7" s="13"/>
      <c r="BO7" s="13"/>
      <c r="BP7" s="13">
        <v>657014.35</v>
      </c>
      <c r="BQ7" s="13">
        <v>657014.35</v>
      </c>
      <c r="BR7" s="13"/>
      <c r="BS7" s="13">
        <f>SUM(BM7+BO7-BP7+BQ7-BR7)</f>
        <v>0</v>
      </c>
      <c r="BT7" s="13"/>
      <c r="BU7" s="13"/>
      <c r="BV7" s="13">
        <v>652547</v>
      </c>
      <c r="BW7" s="13">
        <f>+BV7</f>
        <v>652547</v>
      </c>
      <c r="BX7" s="13"/>
      <c r="BY7" s="13">
        <f>SUM(BS7+BU7-BV7+BW7-BX7)</f>
        <v>0</v>
      </c>
      <c r="BZ7" s="13"/>
      <c r="CA7" s="13"/>
      <c r="CB7" s="13"/>
      <c r="CC7" s="13">
        <f>+BY7+CA7-BZ7-CB7</f>
        <v>0</v>
      </c>
      <c r="CD7" s="13"/>
    </row>
    <row r="8" spans="1:82" ht="15.75">
      <c r="A8" s="14"/>
      <c r="B8" s="32" t="s">
        <v>118</v>
      </c>
      <c r="C8" s="32"/>
      <c r="D8" s="3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524"/>
      <c r="AF8" s="524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</row>
    <row r="9" spans="1:82" ht="15.75">
      <c r="A9" s="14"/>
      <c r="B9" s="32"/>
      <c r="C9" s="32" t="s">
        <v>78</v>
      </c>
      <c r="D9" s="32"/>
      <c r="E9" s="13">
        <v>0</v>
      </c>
      <c r="F9" s="13"/>
      <c r="G9" s="13"/>
      <c r="H9" s="13">
        <v>1480906.93</v>
      </c>
      <c r="I9" s="13">
        <f>+H9</f>
        <v>1480906.93</v>
      </c>
      <c r="J9" s="13"/>
      <c r="K9" s="13">
        <f>SUM(E9+G9-H9+I9-J9)</f>
        <v>0</v>
      </c>
      <c r="L9" s="13"/>
      <c r="M9" s="13"/>
      <c r="N9" s="13">
        <f>2756415.86+4800</f>
        <v>2761215.86</v>
      </c>
      <c r="O9" s="13">
        <v>2761215.86</v>
      </c>
      <c r="P9" s="13"/>
      <c r="Q9" s="13">
        <f>SUM(K9+M9-N9+O9-P9)</f>
        <v>0</v>
      </c>
      <c r="R9" s="13"/>
      <c r="S9" s="13"/>
      <c r="T9" s="13">
        <v>2509531.29</v>
      </c>
      <c r="U9" s="13">
        <v>2509531.29</v>
      </c>
      <c r="V9" s="13"/>
      <c r="W9" s="13">
        <f>SUM(Q9+S9-T9+U9-V9)</f>
        <v>0</v>
      </c>
      <c r="X9" s="13"/>
      <c r="Y9" s="13"/>
      <c r="Z9" s="13">
        <v>3033970.7</v>
      </c>
      <c r="AA9" s="13">
        <v>3033970.7</v>
      </c>
      <c r="AB9" s="13"/>
      <c r="AC9" s="13">
        <f>SUM(W9+Y9-Z9+AA9-AB9)</f>
        <v>0</v>
      </c>
      <c r="AD9" s="13"/>
      <c r="AE9" s="524"/>
      <c r="AF9" s="13">
        <v>1828275.35</v>
      </c>
      <c r="AG9" s="13">
        <v>1828275.35</v>
      </c>
      <c r="AH9" s="13"/>
      <c r="AI9" s="13">
        <f>SUM(AC9+AE9-AF9+AG9-AH9)</f>
        <v>0</v>
      </c>
      <c r="AJ9" s="13"/>
      <c r="AK9" s="13"/>
      <c r="AL9" s="13">
        <v>5283063.79</v>
      </c>
      <c r="AM9" s="13">
        <f>+AL9</f>
        <v>5283063.79</v>
      </c>
      <c r="AN9" s="13"/>
      <c r="AO9" s="13">
        <f>SUM(AI9+AK9-AL9+AM9-AN9)</f>
        <v>0</v>
      </c>
      <c r="AP9" s="13"/>
      <c r="AQ9" s="13"/>
      <c r="AR9" s="13"/>
      <c r="AS9" s="13"/>
      <c r="AT9" s="13"/>
      <c r="AU9" s="13">
        <f>SUM(AO9+AQ9-AR9+AS9-AT9)</f>
        <v>0</v>
      </c>
      <c r="AV9" s="13"/>
      <c r="AW9" s="13"/>
      <c r="AX9" s="13">
        <v>2927855.69</v>
      </c>
      <c r="AY9" s="13">
        <v>2927855.69</v>
      </c>
      <c r="AZ9" s="13"/>
      <c r="BA9" s="13">
        <f>SUM(AU9+AW9-AX9+AY9-AZ9)</f>
        <v>0</v>
      </c>
      <c r="BB9" s="13"/>
      <c r="BC9" s="13"/>
      <c r="BD9" s="13">
        <v>3235158.13</v>
      </c>
      <c r="BE9" s="13">
        <v>3235158.13</v>
      </c>
      <c r="BF9" s="13"/>
      <c r="BG9" s="13">
        <f>SUM(BA9+BC9-BD9+BE9-BF9)</f>
        <v>0</v>
      </c>
      <c r="BH9" s="13"/>
      <c r="BI9" s="13"/>
      <c r="BJ9" s="13">
        <v>5124953.67</v>
      </c>
      <c r="BK9" s="13">
        <v>5124953.67</v>
      </c>
      <c r="BL9" s="13"/>
      <c r="BM9" s="13">
        <f>SUM(BG9+BI9-BJ9+BK9-BL9)</f>
        <v>0</v>
      </c>
      <c r="BN9" s="13"/>
      <c r="BO9" s="13"/>
      <c r="BP9" s="13">
        <v>780252.2</v>
      </c>
      <c r="BQ9" s="13">
        <v>780252.2</v>
      </c>
      <c r="BR9" s="13"/>
      <c r="BS9" s="13">
        <f>SUM(BM9+BO9-BP9+BQ9-BR9)</f>
        <v>0</v>
      </c>
      <c r="BT9" s="13"/>
      <c r="BU9" s="13"/>
      <c r="BV9" s="13">
        <f>3799822.85+15355.14+2780</f>
        <v>3817957.99</v>
      </c>
      <c r="BW9" s="13">
        <f>+BV9</f>
        <v>3817957.99</v>
      </c>
      <c r="BX9" s="13"/>
      <c r="BY9" s="13">
        <f>SUM(BS9+BU9-BV9+BW9-BX9)</f>
        <v>0</v>
      </c>
      <c r="BZ9" s="13"/>
      <c r="CA9" s="13"/>
      <c r="CB9" s="13"/>
      <c r="CC9" s="13">
        <f>+BY9+CA9-BZ9-CB9</f>
        <v>0</v>
      </c>
      <c r="CD9" s="13"/>
    </row>
    <row r="10" spans="1:82" ht="15.75">
      <c r="A10" s="14"/>
      <c r="B10" s="32" t="s">
        <v>119</v>
      </c>
      <c r="C10" s="32"/>
      <c r="D10" s="3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524"/>
      <c r="AF10" s="524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6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</row>
    <row r="11" spans="1:84" s="31" customFormat="1" ht="15.75">
      <c r="A11" s="152"/>
      <c r="B11" s="153"/>
      <c r="C11" s="153" t="s">
        <v>79</v>
      </c>
      <c r="D11" s="153"/>
      <c r="E11" s="154">
        <v>25464238.77</v>
      </c>
      <c r="F11" s="154"/>
      <c r="G11" s="154">
        <v>628976.32</v>
      </c>
      <c r="H11" s="154"/>
      <c r="I11" s="154"/>
      <c r="J11" s="154">
        <f>+I7+10000000</f>
        <v>10686652.58</v>
      </c>
      <c r="K11" s="154">
        <f>SUM(E11+G11-H11+I11-J11)</f>
        <v>15406562.51</v>
      </c>
      <c r="L11" s="154"/>
      <c r="M11" s="154">
        <f>5507314.98+51279</f>
        <v>5558593.98</v>
      </c>
      <c r="N11" s="154"/>
      <c r="O11" s="154"/>
      <c r="P11" s="154">
        <v>697770</v>
      </c>
      <c r="Q11" s="154">
        <f>SUM(K11+M11-N11+O11-P11)</f>
        <v>20267386.490000002</v>
      </c>
      <c r="R11" s="154"/>
      <c r="S11" s="154">
        <v>17142497.66</v>
      </c>
      <c r="T11" s="154"/>
      <c r="U11" s="154"/>
      <c r="V11" s="154">
        <v>714458</v>
      </c>
      <c r="W11" s="154">
        <f>SUM(Q11+S11-T11+U11-V11)</f>
        <v>36695426.150000006</v>
      </c>
      <c r="X11" s="154"/>
      <c r="Y11" s="154">
        <v>2478594.68</v>
      </c>
      <c r="Z11" s="154"/>
      <c r="AA11" s="154"/>
      <c r="AB11" s="154">
        <f>699937.58+10000000</f>
        <v>10699937.58</v>
      </c>
      <c r="AC11" s="154">
        <f>SUM(W11+Y11-Z11+AA11-AB11)</f>
        <v>28474083.250000007</v>
      </c>
      <c r="AD11" s="154"/>
      <c r="AE11" s="154">
        <v>10087806.06</v>
      </c>
      <c r="AF11" s="190"/>
      <c r="AG11" s="154"/>
      <c r="AH11" s="154">
        <v>1054623</v>
      </c>
      <c r="AI11" s="154">
        <f>SUM(AC11+AE11-AF11+AG11-AH11)</f>
        <v>37507266.31000001</v>
      </c>
      <c r="AJ11" s="154"/>
      <c r="AK11" s="154">
        <v>274971.63</v>
      </c>
      <c r="AL11" s="154"/>
      <c r="AM11" s="154"/>
      <c r="AN11" s="154">
        <f>10000000+AL7</f>
        <v>10722321</v>
      </c>
      <c r="AO11" s="154">
        <f>SUM(AI11+AK11-AL11+AM11-AN11)</f>
        <v>27059916.940000013</v>
      </c>
      <c r="AP11" s="154"/>
      <c r="AQ11" s="154"/>
      <c r="AR11" s="154"/>
      <c r="AS11" s="154"/>
      <c r="AT11" s="154"/>
      <c r="AU11" s="154">
        <f>SUM(AO11+AQ11-AR11+AS11-AT11)</f>
        <v>27059916.940000013</v>
      </c>
      <c r="AV11" s="154"/>
      <c r="AW11" s="154">
        <v>4665903.98</v>
      </c>
      <c r="AX11" s="154"/>
      <c r="AY11" s="154"/>
      <c r="AZ11" s="154">
        <v>721957</v>
      </c>
      <c r="BA11" s="154">
        <f>SUM(AU11+AW11-AX11+AY11-AZ11)</f>
        <v>31003863.920000013</v>
      </c>
      <c r="BB11" s="154"/>
      <c r="BC11" s="154">
        <v>1093542.94</v>
      </c>
      <c r="BD11" s="154"/>
      <c r="BE11" s="154"/>
      <c r="BF11" s="154">
        <v>648245</v>
      </c>
      <c r="BG11" s="154">
        <f>SUM(BA11+BC11-BD11+BE11-BF11)</f>
        <v>31449161.860000014</v>
      </c>
      <c r="BH11" s="154"/>
      <c r="BI11" s="154">
        <v>2086535.18</v>
      </c>
      <c r="BJ11" s="154"/>
      <c r="BK11" s="154"/>
      <c r="BL11" s="154">
        <v>637406.29</v>
      </c>
      <c r="BM11" s="154">
        <f>SUM(BG11+BI11-BJ11+BK11-BL11)</f>
        <v>32898290.750000015</v>
      </c>
      <c r="BN11" s="154"/>
      <c r="BO11" s="154">
        <v>821738.75</v>
      </c>
      <c r="BP11" s="154"/>
      <c r="BQ11" s="154"/>
      <c r="BR11" s="154">
        <v>657014.35</v>
      </c>
      <c r="BS11" s="154">
        <f>SUM(BM11+BO11-BP11+BQ11-BR11)</f>
        <v>33063015.150000013</v>
      </c>
      <c r="BT11" s="154"/>
      <c r="BU11" s="154">
        <v>1369200.38</v>
      </c>
      <c r="BV11" s="154"/>
      <c r="BW11" s="154"/>
      <c r="BX11" s="154">
        <f>+BV7</f>
        <v>652547</v>
      </c>
      <c r="BY11" s="154">
        <f>SUM(BS11+BU11-BV11+BW11-BX11)</f>
        <v>33779668.530000016</v>
      </c>
      <c r="BZ11" s="154"/>
      <c r="CA11" s="154"/>
      <c r="CB11" s="154"/>
      <c r="CC11" s="154">
        <f>+BY11+CA11-BZ11-CB11</f>
        <v>33779668.530000016</v>
      </c>
      <c r="CD11" s="154"/>
      <c r="CE11" s="164">
        <v>24774498.39</v>
      </c>
      <c r="CF11" s="164">
        <f>+CE11-BS11</f>
        <v>-8288516.760000013</v>
      </c>
    </row>
    <row r="12" spans="1:84" s="31" customFormat="1" ht="15.75" hidden="1">
      <c r="A12" s="152"/>
      <c r="B12" s="153"/>
      <c r="C12" s="153" t="s">
        <v>80</v>
      </c>
      <c r="D12" s="153"/>
      <c r="E12" s="154"/>
      <c r="F12" s="154"/>
      <c r="G12" s="154"/>
      <c r="H12" s="154"/>
      <c r="I12" s="154"/>
      <c r="J12" s="154"/>
      <c r="K12" s="154">
        <f>SUM(E12+G12-H12+I12-J12)</f>
        <v>0</v>
      </c>
      <c r="L12" s="154"/>
      <c r="M12" s="154"/>
      <c r="N12" s="154"/>
      <c r="O12" s="154"/>
      <c r="P12" s="154"/>
      <c r="Q12" s="154">
        <f>SUM(K12+M12-N12+O12-P12)</f>
        <v>0</v>
      </c>
      <c r="R12" s="154"/>
      <c r="S12" s="154"/>
      <c r="T12" s="154"/>
      <c r="U12" s="154"/>
      <c r="V12" s="154"/>
      <c r="W12" s="154">
        <f>SUM(Q12+S12-T12+U12-V12)</f>
        <v>0</v>
      </c>
      <c r="X12" s="154"/>
      <c r="Y12" s="154"/>
      <c r="Z12" s="154"/>
      <c r="AA12" s="154"/>
      <c r="AB12" s="154"/>
      <c r="AC12" s="154">
        <f>SUM(W12+Y12-Z12+AA12-AB12)</f>
        <v>0</v>
      </c>
      <c r="AD12" s="154"/>
      <c r="AE12" s="190"/>
      <c r="AF12" s="190"/>
      <c r="AG12" s="154"/>
      <c r="AH12" s="154"/>
      <c r="AI12" s="154">
        <f>SUM(AC12+AE12-AF12+AG12-AH12)</f>
        <v>0</v>
      </c>
      <c r="AJ12" s="154"/>
      <c r="AK12" s="154"/>
      <c r="AL12" s="154"/>
      <c r="AM12" s="154"/>
      <c r="AN12" s="154"/>
      <c r="AO12" s="154">
        <f>SUM(AI12+AK12-AL12+AM12-AN12)</f>
        <v>0</v>
      </c>
      <c r="AP12" s="154"/>
      <c r="AQ12" s="154"/>
      <c r="AR12" s="154"/>
      <c r="AS12" s="154"/>
      <c r="AT12" s="154"/>
      <c r="AU12" s="154">
        <f>SUM(AO12+AQ12-AR12+AS12-AT12)</f>
        <v>0</v>
      </c>
      <c r="AV12" s="154"/>
      <c r="AW12" s="154"/>
      <c r="AX12" s="154"/>
      <c r="AY12" s="154"/>
      <c r="AZ12" s="154"/>
      <c r="BA12" s="154">
        <f>SUM(AU12+AW12-AX12+AY12-AZ12)</f>
        <v>0</v>
      </c>
      <c r="BB12" s="154"/>
      <c r="BC12" s="154"/>
      <c r="BD12" s="154"/>
      <c r="BE12" s="154"/>
      <c r="BF12" s="154"/>
      <c r="BG12" s="154">
        <f>SUM(BA12+BC12-BD12+BE12-BF12)</f>
        <v>0</v>
      </c>
      <c r="BH12" s="154"/>
      <c r="BI12" s="154"/>
      <c r="BJ12" s="154"/>
      <c r="BK12" s="154"/>
      <c r="BL12" s="154"/>
      <c r="BM12" s="154">
        <f>SUM(BG12+BI12-BJ12+BK12-BL12)</f>
        <v>0</v>
      </c>
      <c r="BN12" s="154"/>
      <c r="BO12" s="154"/>
      <c r="BP12" s="154"/>
      <c r="BQ12" s="154"/>
      <c r="BR12" s="154"/>
      <c r="BS12" s="154">
        <f>SUM(BM12+BO12-BP12+BQ12-BR12)</f>
        <v>0</v>
      </c>
      <c r="BT12" s="154"/>
      <c r="BU12" s="154"/>
      <c r="BV12" s="154"/>
      <c r="BW12" s="154"/>
      <c r="BX12" s="154"/>
      <c r="BY12" s="154">
        <f>SUM(BS12+BU12-BV12+BW12-BX12)</f>
        <v>0</v>
      </c>
      <c r="BZ12" s="154"/>
      <c r="CA12" s="154"/>
      <c r="CB12" s="154"/>
      <c r="CC12" s="154">
        <f>SUM(BW12+BY12-BZ12+CA12-CB12)</f>
        <v>0</v>
      </c>
      <c r="CD12" s="154"/>
      <c r="CE12" s="164"/>
      <c r="CF12" s="164"/>
    </row>
    <row r="13" spans="1:84" s="31" customFormat="1" ht="15.75">
      <c r="A13" s="152"/>
      <c r="B13" s="153" t="s">
        <v>120</v>
      </c>
      <c r="C13" s="153"/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90"/>
      <c r="AF13" s="190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64"/>
      <c r="CF13" s="164"/>
    </row>
    <row r="14" spans="1:84" s="31" customFormat="1" ht="15.75">
      <c r="A14" s="152"/>
      <c r="B14" s="153"/>
      <c r="C14" s="153" t="s">
        <v>81</v>
      </c>
      <c r="D14" s="153"/>
      <c r="E14" s="154">
        <v>1393992.94</v>
      </c>
      <c r="F14" s="154"/>
      <c r="G14" s="154">
        <v>37886.91</v>
      </c>
      <c r="H14" s="154"/>
      <c r="I14" s="154">
        <v>10000000</v>
      </c>
      <c r="J14" s="154">
        <f>+I9</f>
        <v>1480906.93</v>
      </c>
      <c r="K14" s="154">
        <f>SUM(E14+G14-H14+I14-J14)</f>
        <v>9950972.92</v>
      </c>
      <c r="L14" s="154"/>
      <c r="M14" s="154">
        <v>56555</v>
      </c>
      <c r="N14" s="154"/>
      <c r="O14" s="154"/>
      <c r="P14" s="154">
        <f>+O9</f>
        <v>2761215.86</v>
      </c>
      <c r="Q14" s="154">
        <f>SUM(K14+M14-N14+O14-P14)</f>
        <v>7246312.0600000005</v>
      </c>
      <c r="R14" s="154"/>
      <c r="S14" s="154">
        <v>238354</v>
      </c>
      <c r="T14" s="154"/>
      <c r="U14" s="154"/>
      <c r="V14" s="154">
        <v>2509531.29</v>
      </c>
      <c r="W14" s="154">
        <f>SUM(Q14+S14-T14+U14-V14)</f>
        <v>4975134.7700000005</v>
      </c>
      <c r="X14" s="154"/>
      <c r="Y14" s="154">
        <v>71747.25</v>
      </c>
      <c r="Z14" s="154"/>
      <c r="AA14" s="154">
        <v>10000000</v>
      </c>
      <c r="AB14" s="154">
        <v>3033970.7</v>
      </c>
      <c r="AC14" s="154">
        <f>SUM(W14+Y14-Z14+AA14-AB14)</f>
        <v>12012911.32</v>
      </c>
      <c r="AD14" s="154"/>
      <c r="AE14" s="154">
        <v>347014.01</v>
      </c>
      <c r="AF14" s="190"/>
      <c r="AG14" s="154">
        <v>91.52</v>
      </c>
      <c r="AH14" s="154">
        <f>6297.22+1828275.35</f>
        <v>1834572.57</v>
      </c>
      <c r="AI14" s="154">
        <f>SUM(AC14+AE14-AF14+AG14-AH14)</f>
        <v>10525444.28</v>
      </c>
      <c r="AJ14" s="154"/>
      <c r="AK14" s="154">
        <v>239194.32</v>
      </c>
      <c r="AL14" s="154"/>
      <c r="AM14" s="154">
        <v>10000000</v>
      </c>
      <c r="AN14" s="154">
        <f>+AM9</f>
        <v>5283063.79</v>
      </c>
      <c r="AO14" s="154">
        <f>SUM(AI14+AK14-AL14+AM14-AN14)</f>
        <v>15481574.810000002</v>
      </c>
      <c r="AP14" s="154"/>
      <c r="AQ14" s="154"/>
      <c r="AR14" s="154"/>
      <c r="AS14" s="154"/>
      <c r="AT14" s="154"/>
      <c r="AU14" s="154">
        <f>SUM(AO14+AQ14-AR14+AS14-AT14)</f>
        <v>15481574.810000002</v>
      </c>
      <c r="AV14" s="154"/>
      <c r="AW14" s="154">
        <v>76818.56</v>
      </c>
      <c r="AX14" s="154"/>
      <c r="AY14" s="154"/>
      <c r="AZ14" s="154">
        <v>2927855.69</v>
      </c>
      <c r="BA14" s="154">
        <f>SUM(AU14+AW14-AX14+AY14-AZ14)</f>
        <v>12630537.680000003</v>
      </c>
      <c r="BB14" s="154"/>
      <c r="BC14" s="154">
        <v>87486.4</v>
      </c>
      <c r="BD14" s="154"/>
      <c r="BE14" s="154"/>
      <c r="BF14" s="154">
        <v>3235158.13</v>
      </c>
      <c r="BG14" s="154">
        <f aca="true" t="shared" si="2" ref="BG14:BG22">SUM(BA14+BC14-BD14+BE14-BF14)</f>
        <v>9482865.950000003</v>
      </c>
      <c r="BH14" s="154"/>
      <c r="BI14" s="154">
        <v>53012.59</v>
      </c>
      <c r="BJ14" s="154"/>
      <c r="BK14" s="154"/>
      <c r="BL14" s="154">
        <v>5124953.67</v>
      </c>
      <c r="BM14" s="154">
        <f>SUM(BG14+BI14-BJ14+BK14-BL14)</f>
        <v>4410924.870000003</v>
      </c>
      <c r="BN14" s="154"/>
      <c r="BO14" s="154">
        <v>17929.36</v>
      </c>
      <c r="BP14" s="154"/>
      <c r="BQ14" s="154"/>
      <c r="BR14" s="154">
        <v>780252.2</v>
      </c>
      <c r="BS14" s="154">
        <f>SUM(BM14+BO14-BP14+BQ14-BR14)</f>
        <v>3648602.030000003</v>
      </c>
      <c r="BT14" s="154"/>
      <c r="BU14" s="154">
        <v>122004.4</v>
      </c>
      <c r="BV14" s="154"/>
      <c r="BW14" s="154"/>
      <c r="BX14" s="154">
        <f>+BV9</f>
        <v>3817957.99</v>
      </c>
      <c r="BY14" s="154">
        <f>SUM(BS14+BU14-BV14+BW14-BX14)</f>
        <v>-47351.55999999726</v>
      </c>
      <c r="BZ14" s="154"/>
      <c r="CA14" s="154"/>
      <c r="CB14" s="154"/>
      <c r="CC14" s="154">
        <f>+BY14+CA14-BZ14-CB14</f>
        <v>-47351.55999999726</v>
      </c>
      <c r="CD14" s="154"/>
      <c r="CE14" s="164"/>
      <c r="CF14" s="164"/>
    </row>
    <row r="15" spans="1:82" ht="15.75">
      <c r="A15" s="14"/>
      <c r="B15" s="32"/>
      <c r="C15" s="32" t="s">
        <v>82</v>
      </c>
      <c r="D15" s="32"/>
      <c r="E15" s="13">
        <v>7917.73</v>
      </c>
      <c r="F15" s="13"/>
      <c r="G15" s="13">
        <v>3148.61</v>
      </c>
      <c r="H15" s="13"/>
      <c r="I15" s="13"/>
      <c r="J15" s="13">
        <v>1707.67</v>
      </c>
      <c r="K15" s="13">
        <f aca="true" t="shared" si="3" ref="K15:K21">SUM(E15+G15-H15+I15-J15)</f>
        <v>9358.67</v>
      </c>
      <c r="L15" s="13"/>
      <c r="M15" s="13">
        <v>3148.61</v>
      </c>
      <c r="N15" s="13"/>
      <c r="O15" s="13"/>
      <c r="P15" s="13"/>
      <c r="Q15" s="13">
        <f aca="true" t="shared" si="4" ref="Q15:Q23">SUM(K15+M15-N15+O15-P15)</f>
        <v>12507.28</v>
      </c>
      <c r="R15" s="13"/>
      <c r="S15" s="13"/>
      <c r="T15" s="13"/>
      <c r="U15" s="13"/>
      <c r="V15" s="13"/>
      <c r="W15" s="13">
        <f aca="true" t="shared" si="5" ref="W15:W22">SUM(Q15+S15-T15+U15-V15)</f>
        <v>12507.28</v>
      </c>
      <c r="X15" s="13"/>
      <c r="Y15" s="13"/>
      <c r="Z15" s="13"/>
      <c r="AA15" s="13"/>
      <c r="AB15" s="13"/>
      <c r="AC15" s="13">
        <f aca="true" t="shared" si="6" ref="AC15:AC23">SUM(W15+Y15-Z15+AA15-AB15)</f>
        <v>12507.28</v>
      </c>
      <c r="AD15" s="13"/>
      <c r="AE15" s="524"/>
      <c r="AF15" s="524"/>
      <c r="AG15" s="13">
        <v>6297.22</v>
      </c>
      <c r="AH15" s="13">
        <v>91.52</v>
      </c>
      <c r="AI15" s="13">
        <f aca="true" t="shared" si="7" ref="AI15:AI23">SUM(AC15+AE15-AF15+AG15-AH15)</f>
        <v>18712.98</v>
      </c>
      <c r="AJ15" s="13"/>
      <c r="AK15" s="13"/>
      <c r="AL15" s="13"/>
      <c r="AM15" s="13"/>
      <c r="AN15" s="13"/>
      <c r="AO15" s="13">
        <f aca="true" t="shared" si="8" ref="AO15:AO23">SUM(AI15+AK15-AL15+AM15-AN15)</f>
        <v>18712.98</v>
      </c>
      <c r="AP15" s="13"/>
      <c r="AQ15" s="13"/>
      <c r="AR15" s="13"/>
      <c r="AS15" s="13"/>
      <c r="AT15" s="13"/>
      <c r="AU15" s="13">
        <f aca="true" t="shared" si="9" ref="AU15:AU23">SUM(AO15+AQ15-AR15+AS15-AT15)</f>
        <v>18712.98</v>
      </c>
      <c r="AV15" s="13"/>
      <c r="AW15" s="13"/>
      <c r="AX15" s="13"/>
      <c r="AY15" s="13"/>
      <c r="AZ15" s="13"/>
      <c r="BA15" s="13">
        <f aca="true" t="shared" si="10" ref="BA15:BA22">SUM(AU15+AW15-AX15+AY15-AZ15)</f>
        <v>18712.98</v>
      </c>
      <c r="BB15" s="13"/>
      <c r="BC15" s="13"/>
      <c r="BD15" s="13"/>
      <c r="BE15" s="13"/>
      <c r="BF15" s="13"/>
      <c r="BG15" s="13">
        <f t="shared" si="2"/>
        <v>18712.98</v>
      </c>
      <c r="BH15" s="13"/>
      <c r="BI15" s="13">
        <v>1707.67</v>
      </c>
      <c r="BJ15" s="13">
        <v>50000</v>
      </c>
      <c r="BK15" s="13">
        <v>0</v>
      </c>
      <c r="BL15" s="13">
        <v>0</v>
      </c>
      <c r="BM15" s="13">
        <f aca="true" t="shared" si="11" ref="BM15:BM22">SUM(BG15+BI15-BJ15+BK15-BL15)</f>
        <v>-29579.35</v>
      </c>
      <c r="BN15" s="13"/>
      <c r="BO15" s="13"/>
      <c r="BP15" s="13"/>
      <c r="BQ15" s="13"/>
      <c r="BR15" s="13"/>
      <c r="BS15" s="13">
        <f aca="true" t="shared" si="12" ref="BS15:BS22">SUM(BM15+BO15-BP15+BQ15-BR15)</f>
        <v>-29579.35</v>
      </c>
      <c r="BT15" s="13"/>
      <c r="BU15" s="13">
        <v>1778.63</v>
      </c>
      <c r="BV15" s="13"/>
      <c r="BW15" s="13"/>
      <c r="BX15" s="13"/>
      <c r="BY15" s="13">
        <f aca="true" t="shared" si="13" ref="BY15:BY23">SUM(BS15+BU15-BV15+BW15-BX15)</f>
        <v>-27800.719999999998</v>
      </c>
      <c r="BZ15" s="13"/>
      <c r="CA15" s="13"/>
      <c r="CB15" s="13"/>
      <c r="CC15" s="154">
        <f>+BY15+CA15-BZ15-CB15</f>
        <v>-27800.719999999998</v>
      </c>
      <c r="CD15" s="13"/>
    </row>
    <row r="16" spans="1:82" ht="15.75">
      <c r="A16" s="14"/>
      <c r="B16" s="32" t="s">
        <v>334</v>
      </c>
      <c r="C16" s="32"/>
      <c r="D16" s="32"/>
      <c r="E16" s="13"/>
      <c r="F16" s="13"/>
      <c r="G16" s="13"/>
      <c r="H16" s="13"/>
      <c r="I16" s="13"/>
      <c r="J16" s="13"/>
      <c r="K16" s="13">
        <f t="shared" si="3"/>
        <v>0</v>
      </c>
      <c r="L16" s="13"/>
      <c r="M16" s="13"/>
      <c r="N16" s="13"/>
      <c r="O16" s="13"/>
      <c r="P16" s="13"/>
      <c r="Q16" s="13">
        <f t="shared" si="4"/>
        <v>0</v>
      </c>
      <c r="R16" s="13"/>
      <c r="S16" s="13"/>
      <c r="T16" s="13"/>
      <c r="U16" s="13"/>
      <c r="V16" s="13"/>
      <c r="W16" s="13">
        <f t="shared" si="5"/>
        <v>0</v>
      </c>
      <c r="X16" s="13"/>
      <c r="Y16" s="13"/>
      <c r="Z16" s="13"/>
      <c r="AA16" s="13"/>
      <c r="AB16" s="13"/>
      <c r="AC16" s="13">
        <f t="shared" si="6"/>
        <v>0</v>
      </c>
      <c r="AD16" s="13"/>
      <c r="AE16" s="524"/>
      <c r="AF16" s="524"/>
      <c r="AG16" s="13"/>
      <c r="AH16" s="13"/>
      <c r="AI16" s="13">
        <f t="shared" si="7"/>
        <v>0</v>
      </c>
      <c r="AJ16" s="13"/>
      <c r="AK16" s="13"/>
      <c r="AL16" s="13"/>
      <c r="AM16" s="13"/>
      <c r="AN16" s="13"/>
      <c r="AO16" s="13">
        <f t="shared" si="8"/>
        <v>0</v>
      </c>
      <c r="AP16" s="13"/>
      <c r="AQ16" s="13"/>
      <c r="AR16" s="13"/>
      <c r="AS16" s="13"/>
      <c r="AT16" s="13"/>
      <c r="AU16" s="13">
        <f t="shared" si="9"/>
        <v>0</v>
      </c>
      <c r="AV16" s="13"/>
      <c r="AW16" s="13"/>
      <c r="AX16" s="13"/>
      <c r="AY16" s="13"/>
      <c r="AZ16" s="13"/>
      <c r="BA16" s="13">
        <f t="shared" si="10"/>
        <v>0</v>
      </c>
      <c r="BB16" s="13"/>
      <c r="BC16" s="13"/>
      <c r="BD16" s="13"/>
      <c r="BE16" s="13"/>
      <c r="BF16" s="13"/>
      <c r="BG16" s="13">
        <f t="shared" si="2"/>
        <v>0</v>
      </c>
      <c r="BH16" s="13"/>
      <c r="BI16" s="13"/>
      <c r="BJ16" s="13"/>
      <c r="BK16" s="13"/>
      <c r="BL16" s="13"/>
      <c r="BM16" s="13">
        <f t="shared" si="11"/>
        <v>0</v>
      </c>
      <c r="BN16" s="13"/>
      <c r="BO16" s="13"/>
      <c r="BP16" s="13"/>
      <c r="BQ16" s="13"/>
      <c r="BR16" s="13"/>
      <c r="BS16" s="13">
        <f t="shared" si="12"/>
        <v>0</v>
      </c>
      <c r="BT16" s="13"/>
      <c r="BU16" s="13"/>
      <c r="BV16" s="13"/>
      <c r="BW16" s="13"/>
      <c r="BX16" s="13"/>
      <c r="BY16" s="13">
        <f t="shared" si="13"/>
        <v>0</v>
      </c>
      <c r="BZ16" s="13"/>
      <c r="CA16" s="13"/>
      <c r="CB16" s="13"/>
      <c r="CC16" s="13">
        <f>SUM(BW16+BY16-BZ16+CA16-CB16)</f>
        <v>0</v>
      </c>
      <c r="CD16" s="13"/>
    </row>
    <row r="17" spans="1:82" ht="15.75">
      <c r="A17" s="14"/>
      <c r="B17" s="32"/>
      <c r="C17" s="32" t="s">
        <v>342</v>
      </c>
      <c r="D17" s="32"/>
      <c r="E17" s="13">
        <v>0</v>
      </c>
      <c r="F17" s="13"/>
      <c r="G17" s="13"/>
      <c r="H17" s="13"/>
      <c r="I17" s="13"/>
      <c r="J17" s="13"/>
      <c r="K17" s="13">
        <f t="shared" si="3"/>
        <v>0</v>
      </c>
      <c r="L17" s="13"/>
      <c r="M17" s="13"/>
      <c r="N17" s="13"/>
      <c r="O17" s="13"/>
      <c r="P17" s="13"/>
      <c r="Q17" s="13">
        <f t="shared" si="4"/>
        <v>0</v>
      </c>
      <c r="R17" s="13"/>
      <c r="S17" s="13"/>
      <c r="T17" s="13"/>
      <c r="U17" s="13"/>
      <c r="V17" s="13"/>
      <c r="W17" s="13">
        <f t="shared" si="5"/>
        <v>0</v>
      </c>
      <c r="X17" s="13"/>
      <c r="Y17" s="13"/>
      <c r="Z17" s="13"/>
      <c r="AA17" s="13"/>
      <c r="AB17" s="13"/>
      <c r="AC17" s="13">
        <f t="shared" si="6"/>
        <v>0</v>
      </c>
      <c r="AD17" s="13"/>
      <c r="AE17" s="524"/>
      <c r="AF17" s="524"/>
      <c r="AG17" s="13"/>
      <c r="AH17" s="13"/>
      <c r="AI17" s="13">
        <f t="shared" si="7"/>
        <v>0</v>
      </c>
      <c r="AJ17" s="13"/>
      <c r="AK17" s="13"/>
      <c r="AL17" s="13"/>
      <c r="AM17" s="13"/>
      <c r="AN17" s="13"/>
      <c r="AO17" s="13">
        <f t="shared" si="8"/>
        <v>0</v>
      </c>
      <c r="AP17" s="13"/>
      <c r="AQ17" s="13"/>
      <c r="AR17" s="13"/>
      <c r="AS17" s="13"/>
      <c r="AT17" s="13"/>
      <c r="AU17" s="13">
        <f t="shared" si="9"/>
        <v>0</v>
      </c>
      <c r="AV17" s="13"/>
      <c r="AW17" s="13"/>
      <c r="AX17" s="13"/>
      <c r="AY17" s="13"/>
      <c r="AZ17" s="13"/>
      <c r="BA17" s="13">
        <f t="shared" si="10"/>
        <v>0</v>
      </c>
      <c r="BB17" s="13"/>
      <c r="BC17" s="13"/>
      <c r="BD17" s="13"/>
      <c r="BE17" s="13"/>
      <c r="BF17" s="13"/>
      <c r="BG17" s="13">
        <f t="shared" si="2"/>
        <v>0</v>
      </c>
      <c r="BH17" s="13"/>
      <c r="BI17" s="13"/>
      <c r="BJ17" s="13"/>
      <c r="BK17" s="13"/>
      <c r="BL17" s="13"/>
      <c r="BM17" s="13">
        <f t="shared" si="11"/>
        <v>0</v>
      </c>
      <c r="BN17" s="13"/>
      <c r="BO17" s="13"/>
      <c r="BP17" s="13"/>
      <c r="BQ17" s="13"/>
      <c r="BR17" s="13"/>
      <c r="BS17" s="13">
        <f t="shared" si="12"/>
        <v>0</v>
      </c>
      <c r="BT17" s="13"/>
      <c r="BU17" s="13"/>
      <c r="BV17" s="13"/>
      <c r="BW17" s="13"/>
      <c r="BX17" s="13"/>
      <c r="BY17" s="13">
        <f t="shared" si="13"/>
        <v>0</v>
      </c>
      <c r="BZ17" s="13"/>
      <c r="CA17" s="13"/>
      <c r="CB17" s="13"/>
      <c r="CC17" s="13">
        <f>SUM(BW17+BY17-BZ17+CA17-CB17)</f>
        <v>0</v>
      </c>
      <c r="CD17" s="13"/>
    </row>
    <row r="18" spans="1:83" ht="15.75">
      <c r="A18" s="14" t="s">
        <v>57</v>
      </c>
      <c r="B18" s="32"/>
      <c r="C18" s="32"/>
      <c r="D18" s="32"/>
      <c r="E18" s="13">
        <v>12705.46</v>
      </c>
      <c r="F18" s="13"/>
      <c r="G18" s="13"/>
      <c r="H18" s="13">
        <v>112.65</v>
      </c>
      <c r="I18" s="13"/>
      <c r="J18" s="13"/>
      <c r="K18" s="13">
        <f t="shared" si="3"/>
        <v>12592.81</v>
      </c>
      <c r="L18" s="13"/>
      <c r="M18" s="13"/>
      <c r="N18" s="13"/>
      <c r="O18" s="13"/>
      <c r="P18" s="13">
        <v>357.78</v>
      </c>
      <c r="Q18" s="13">
        <f t="shared" si="4"/>
        <v>12235.029999999999</v>
      </c>
      <c r="R18" s="13"/>
      <c r="S18" s="13"/>
      <c r="T18" s="13"/>
      <c r="U18" s="13"/>
      <c r="V18" s="13"/>
      <c r="W18" s="13">
        <f t="shared" si="5"/>
        <v>12235.029999999999</v>
      </c>
      <c r="X18" s="13"/>
      <c r="Y18" s="13"/>
      <c r="Z18" s="13"/>
      <c r="AA18" s="13"/>
      <c r="AB18" s="13"/>
      <c r="AC18" s="13">
        <f t="shared" si="6"/>
        <v>12235.029999999999</v>
      </c>
      <c r="AD18" s="13"/>
      <c r="AE18" s="524"/>
      <c r="AF18" s="13">
        <v>69.15</v>
      </c>
      <c r="AG18" s="13"/>
      <c r="AH18" s="13"/>
      <c r="AI18" s="13">
        <f t="shared" si="7"/>
        <v>12165.88</v>
      </c>
      <c r="AJ18" s="13"/>
      <c r="AK18" s="13"/>
      <c r="AL18" s="13"/>
      <c r="AM18" s="13"/>
      <c r="AN18" s="13"/>
      <c r="AO18" s="13">
        <f t="shared" si="8"/>
        <v>12165.88</v>
      </c>
      <c r="AP18" s="13"/>
      <c r="AQ18" s="13"/>
      <c r="AR18" s="13"/>
      <c r="AS18" s="13"/>
      <c r="AT18" s="13"/>
      <c r="AU18" s="13">
        <f t="shared" si="9"/>
        <v>12165.88</v>
      </c>
      <c r="AV18" s="13"/>
      <c r="AW18" s="13"/>
      <c r="AX18" s="13">
        <v>898.83</v>
      </c>
      <c r="AY18" s="13"/>
      <c r="AZ18" s="13"/>
      <c r="BA18" s="13">
        <f t="shared" si="10"/>
        <v>11267.05</v>
      </c>
      <c r="BB18" s="13"/>
      <c r="BC18" s="13"/>
      <c r="BD18" s="13">
        <v>881.03</v>
      </c>
      <c r="BE18" s="13"/>
      <c r="BF18" s="13"/>
      <c r="BG18" s="13">
        <f t="shared" si="2"/>
        <v>10386.019999999999</v>
      </c>
      <c r="BH18" s="13"/>
      <c r="BI18" s="13"/>
      <c r="BJ18" s="13">
        <v>935.7</v>
      </c>
      <c r="BK18" s="13"/>
      <c r="BL18" s="13"/>
      <c r="BM18" s="13">
        <f t="shared" si="11"/>
        <v>9450.319999999998</v>
      </c>
      <c r="BN18" s="13"/>
      <c r="BO18" s="13"/>
      <c r="BP18" s="13">
        <v>79.93</v>
      </c>
      <c r="BQ18" s="13"/>
      <c r="BR18" s="13"/>
      <c r="BS18" s="13">
        <f t="shared" si="12"/>
        <v>9370.389999999998</v>
      </c>
      <c r="BT18" s="13"/>
      <c r="BU18" s="13"/>
      <c r="BV18" s="13">
        <v>883.77</v>
      </c>
      <c r="BW18" s="13">
        <f>2090.75+1.32</f>
        <v>2092.07</v>
      </c>
      <c r="BX18" s="13">
        <v>127.31</v>
      </c>
      <c r="BY18" s="13">
        <f>SUM(BS18+BU18-BV18+BW18-BX18)</f>
        <v>10451.379999999997</v>
      </c>
      <c r="BZ18" s="13"/>
      <c r="CA18" s="13"/>
      <c r="CB18" s="13"/>
      <c r="CC18" s="13">
        <f aca="true" t="shared" si="14" ref="CC18:CC23">+BY18+CA18-BZ18-CB18</f>
        <v>10451.379999999997</v>
      </c>
      <c r="CD18" s="13"/>
      <c r="CE18" s="7">
        <f>2500*0.75</f>
        <v>1875</v>
      </c>
    </row>
    <row r="19" spans="1:82" ht="15.75">
      <c r="A19" s="14" t="s">
        <v>60</v>
      </c>
      <c r="B19" s="32"/>
      <c r="C19" s="32"/>
      <c r="D19" s="32"/>
      <c r="E19" s="487">
        <v>185956.86</v>
      </c>
      <c r="F19" s="13"/>
      <c r="G19" s="13"/>
      <c r="H19" s="13">
        <v>1720</v>
      </c>
      <c r="I19" s="13"/>
      <c r="J19" s="13"/>
      <c r="K19" s="13">
        <f t="shared" si="3"/>
        <v>184236.86</v>
      </c>
      <c r="L19" s="13"/>
      <c r="M19" s="13"/>
      <c r="N19" s="13">
        <v>95</v>
      </c>
      <c r="O19" s="13"/>
      <c r="P19" s="13"/>
      <c r="Q19" s="13">
        <f t="shared" si="4"/>
        <v>184141.86</v>
      </c>
      <c r="R19" s="13"/>
      <c r="S19" s="13"/>
      <c r="T19" s="13"/>
      <c r="U19" s="13"/>
      <c r="V19" s="13"/>
      <c r="W19" s="13">
        <f t="shared" si="5"/>
        <v>184141.86</v>
      </c>
      <c r="X19" s="13"/>
      <c r="Y19" s="13"/>
      <c r="Z19" s="13"/>
      <c r="AA19" s="13"/>
      <c r="AB19" s="13"/>
      <c r="AC19" s="13">
        <f t="shared" si="6"/>
        <v>184141.86</v>
      </c>
      <c r="AD19" s="13"/>
      <c r="AE19" s="524"/>
      <c r="AF19" s="524"/>
      <c r="AG19" s="13"/>
      <c r="AH19" s="13"/>
      <c r="AI19" s="13">
        <f t="shared" si="7"/>
        <v>184141.86</v>
      </c>
      <c r="AJ19" s="13"/>
      <c r="AK19" s="13"/>
      <c r="AL19" s="13"/>
      <c r="AM19" s="13"/>
      <c r="AN19" s="13"/>
      <c r="AO19" s="13">
        <f t="shared" si="8"/>
        <v>184141.86</v>
      </c>
      <c r="AP19" s="13"/>
      <c r="AQ19" s="13"/>
      <c r="AR19" s="13"/>
      <c r="AS19" s="13"/>
      <c r="AT19" s="13"/>
      <c r="AU19" s="13">
        <f t="shared" si="9"/>
        <v>184141.86</v>
      </c>
      <c r="AV19" s="13"/>
      <c r="AW19" s="13"/>
      <c r="AX19" s="13"/>
      <c r="AY19" s="13"/>
      <c r="AZ19" s="13"/>
      <c r="BA19" s="13">
        <f t="shared" si="10"/>
        <v>184141.86</v>
      </c>
      <c r="BB19" s="13"/>
      <c r="BC19" s="13"/>
      <c r="BD19" s="13"/>
      <c r="BE19" s="13"/>
      <c r="BF19" s="13"/>
      <c r="BG19" s="13">
        <f t="shared" si="2"/>
        <v>184141.86</v>
      </c>
      <c r="BH19" s="13"/>
      <c r="BI19" s="13"/>
      <c r="BJ19" s="13"/>
      <c r="BK19" s="222">
        <v>365</v>
      </c>
      <c r="BL19" s="13"/>
      <c r="BM19" s="13">
        <f t="shared" si="11"/>
        <v>184506.86</v>
      </c>
      <c r="BN19" s="13"/>
      <c r="BO19" s="13"/>
      <c r="BP19" s="13"/>
      <c r="BQ19" s="13"/>
      <c r="BR19" s="13"/>
      <c r="BS19" s="13">
        <f t="shared" si="12"/>
        <v>184506.86</v>
      </c>
      <c r="BT19" s="13"/>
      <c r="BU19" s="13"/>
      <c r="BV19" s="13">
        <v>3010</v>
      </c>
      <c r="BW19" s="13">
        <f>26332.5+127.31</f>
        <v>26459.81</v>
      </c>
      <c r="BX19" s="13">
        <v>450</v>
      </c>
      <c r="BY19" s="13">
        <f>SUM(BS19+BU19-BV19+BW19-BX19)</f>
        <v>207506.66999999998</v>
      </c>
      <c r="BZ19" s="13"/>
      <c r="CA19" s="13"/>
      <c r="CB19" s="13"/>
      <c r="CC19" s="13">
        <f t="shared" si="14"/>
        <v>207506.66999999998</v>
      </c>
      <c r="CD19" s="13"/>
    </row>
    <row r="20" spans="1:84" s="31" customFormat="1" ht="15.75">
      <c r="A20" s="152" t="s">
        <v>56</v>
      </c>
      <c r="B20" s="153"/>
      <c r="C20" s="153"/>
      <c r="D20" s="153"/>
      <c r="E20" s="154">
        <v>0</v>
      </c>
      <c r="F20" s="154"/>
      <c r="G20" s="154">
        <v>141350</v>
      </c>
      <c r="H20" s="154"/>
      <c r="I20" s="154"/>
      <c r="J20" s="154"/>
      <c r="K20" s="154">
        <f t="shared" si="3"/>
        <v>141350</v>
      </c>
      <c r="L20" s="154"/>
      <c r="M20" s="154">
        <f>32540+4800</f>
        <v>37340</v>
      </c>
      <c r="N20" s="154"/>
      <c r="O20" s="154"/>
      <c r="P20" s="154">
        <v>141350</v>
      </c>
      <c r="Q20" s="154">
        <f t="shared" si="4"/>
        <v>37340</v>
      </c>
      <c r="R20" s="154"/>
      <c r="S20" s="154">
        <v>25960</v>
      </c>
      <c r="T20" s="154">
        <v>9960</v>
      </c>
      <c r="U20" s="154"/>
      <c r="V20" s="154">
        <f>4880+3920+6740+7040+4800+12000</f>
        <v>39380</v>
      </c>
      <c r="W20" s="154">
        <f t="shared" si="5"/>
        <v>13960</v>
      </c>
      <c r="X20" s="154"/>
      <c r="Y20" s="154"/>
      <c r="Z20" s="154"/>
      <c r="AA20" s="154"/>
      <c r="AB20" s="154">
        <v>13960</v>
      </c>
      <c r="AC20" s="154">
        <f t="shared" si="6"/>
        <v>0</v>
      </c>
      <c r="AD20" s="154"/>
      <c r="AE20" s="190"/>
      <c r="AF20" s="190"/>
      <c r="AG20" s="154"/>
      <c r="AH20" s="154"/>
      <c r="AI20" s="154">
        <f t="shared" si="7"/>
        <v>0</v>
      </c>
      <c r="AJ20" s="154"/>
      <c r="AK20" s="154">
        <v>15640</v>
      </c>
      <c r="AL20" s="154"/>
      <c r="AM20" s="154"/>
      <c r="AN20" s="154"/>
      <c r="AO20" s="154">
        <f t="shared" si="8"/>
        <v>15640</v>
      </c>
      <c r="AP20" s="154"/>
      <c r="AQ20" s="154"/>
      <c r="AR20" s="154"/>
      <c r="AS20" s="154"/>
      <c r="AT20" s="154"/>
      <c r="AU20" s="154">
        <f t="shared" si="9"/>
        <v>15640</v>
      </c>
      <c r="AV20" s="154"/>
      <c r="AW20" s="154">
        <f>7200+3480</f>
        <v>10680</v>
      </c>
      <c r="AX20" s="154">
        <f>800+68</f>
        <v>868</v>
      </c>
      <c r="AY20" s="154"/>
      <c r="AZ20" s="154">
        <f>5700+5700+5632+5700+6400</f>
        <v>29132</v>
      </c>
      <c r="BA20" s="154">
        <f t="shared" si="10"/>
        <v>-3680</v>
      </c>
      <c r="BB20" s="154"/>
      <c r="BC20" s="154">
        <v>21230</v>
      </c>
      <c r="BD20" s="154"/>
      <c r="BE20" s="154"/>
      <c r="BF20" s="154">
        <v>6400</v>
      </c>
      <c r="BG20" s="154">
        <f t="shared" si="2"/>
        <v>11150</v>
      </c>
      <c r="BH20" s="154"/>
      <c r="BI20" s="154"/>
      <c r="BJ20" s="154"/>
      <c r="BK20" s="154"/>
      <c r="BL20" s="154">
        <v>3680</v>
      </c>
      <c r="BM20" s="154">
        <f t="shared" si="11"/>
        <v>7470</v>
      </c>
      <c r="BN20" s="154"/>
      <c r="BO20" s="154">
        <v>99600</v>
      </c>
      <c r="BP20" s="154">
        <v>4032.5</v>
      </c>
      <c r="BQ20" s="154"/>
      <c r="BR20" s="154">
        <f>96000+10597.5+119633</f>
        <v>226230.5</v>
      </c>
      <c r="BS20" s="154">
        <f>SUM(BM20+BO20-BP20+BQ20-BR20)</f>
        <v>-123193</v>
      </c>
      <c r="BT20" s="154"/>
      <c r="BU20" s="154">
        <v>136275</v>
      </c>
      <c r="BV20" s="154"/>
      <c r="BW20" s="154"/>
      <c r="BX20" s="154">
        <f>3600+5000+3600+29475+98200</f>
        <v>139875</v>
      </c>
      <c r="BY20" s="154">
        <f>SUM(BS20+BU20-BV20+BW20-BX20)</f>
        <v>-126793</v>
      </c>
      <c r="BZ20" s="154"/>
      <c r="CA20" s="154"/>
      <c r="CB20" s="154"/>
      <c r="CC20" s="154">
        <f>+BY20+CA20-BZ20-CB20</f>
        <v>-126793</v>
      </c>
      <c r="CD20" s="154"/>
      <c r="CE20" s="164"/>
      <c r="CF20" s="164"/>
    </row>
    <row r="21" spans="1:84" s="31" customFormat="1" ht="15.75">
      <c r="A21" s="152" t="s">
        <v>152</v>
      </c>
      <c r="B21" s="153"/>
      <c r="C21" s="153"/>
      <c r="D21" s="153"/>
      <c r="E21" s="154">
        <v>60000</v>
      </c>
      <c r="F21" s="154"/>
      <c r="G21" s="154">
        <v>979900</v>
      </c>
      <c r="H21" s="154"/>
      <c r="I21" s="154"/>
      <c r="J21" s="154"/>
      <c r="K21" s="154">
        <f t="shared" si="3"/>
        <v>1039900</v>
      </c>
      <c r="L21" s="154"/>
      <c r="M21" s="154">
        <v>978840</v>
      </c>
      <c r="N21" s="154"/>
      <c r="O21" s="154"/>
      <c r="P21" s="190"/>
      <c r="Q21" s="154">
        <f t="shared" si="4"/>
        <v>2018740</v>
      </c>
      <c r="R21" s="154"/>
      <c r="S21" s="154">
        <v>184440</v>
      </c>
      <c r="T21" s="154"/>
      <c r="U21" s="154"/>
      <c r="V21" s="154">
        <f>796900+87000+794400+87000+87000</f>
        <v>1852300</v>
      </c>
      <c r="W21" s="154">
        <f t="shared" si="5"/>
        <v>350880</v>
      </c>
      <c r="X21" s="154"/>
      <c r="Y21" s="154">
        <v>97440</v>
      </c>
      <c r="Z21" s="154"/>
      <c r="AA21" s="154"/>
      <c r="AB21" s="154"/>
      <c r="AC21" s="154">
        <f t="shared" si="6"/>
        <v>448320</v>
      </c>
      <c r="AD21" s="154"/>
      <c r="AE21" s="154">
        <v>96000</v>
      </c>
      <c r="AF21" s="190"/>
      <c r="AG21" s="154"/>
      <c r="AH21" s="154">
        <f>36000+60000+1440+36000+60000+1440</f>
        <v>194880</v>
      </c>
      <c r="AI21" s="154">
        <f t="shared" si="7"/>
        <v>349440</v>
      </c>
      <c r="AJ21" s="154"/>
      <c r="AK21" s="154">
        <v>96000</v>
      </c>
      <c r="AL21" s="154"/>
      <c r="AM21" s="154"/>
      <c r="AN21" s="154">
        <f>36000+60000+36000+60000+1440+60000+36000</f>
        <v>289440</v>
      </c>
      <c r="AO21" s="154">
        <f t="shared" si="8"/>
        <v>156000</v>
      </c>
      <c r="AP21" s="154"/>
      <c r="AQ21" s="154"/>
      <c r="AR21" s="154"/>
      <c r="AS21" s="154"/>
      <c r="AT21" s="154"/>
      <c r="AU21" s="154">
        <f t="shared" si="9"/>
        <v>156000</v>
      </c>
      <c r="AV21" s="154"/>
      <c r="AW21" s="154">
        <f>60000+36000+1440+61080+27000</f>
        <v>185520</v>
      </c>
      <c r="AX21" s="154">
        <v>0</v>
      </c>
      <c r="AY21" s="154"/>
      <c r="AZ21" s="154">
        <f>45000+85000+85000+60000+36000+1440+61080+27000</f>
        <v>400520</v>
      </c>
      <c r="BA21" s="154">
        <f t="shared" si="10"/>
        <v>-59000</v>
      </c>
      <c r="BB21" s="154"/>
      <c r="BC21" s="154">
        <v>87000</v>
      </c>
      <c r="BD21" s="154"/>
      <c r="BE21" s="154"/>
      <c r="BF21" s="154"/>
      <c r="BG21" s="154">
        <f>SUM(BA21+BC21-BD21+BE21-BF21)</f>
        <v>28000</v>
      </c>
      <c r="BH21" s="154"/>
      <c r="BI21" s="154">
        <v>96000</v>
      </c>
      <c r="BJ21" s="154"/>
      <c r="BK21" s="154"/>
      <c r="BL21" s="154">
        <f>27000+60000</f>
        <v>87000</v>
      </c>
      <c r="BM21" s="154">
        <f>SUM(BG21+BI21-BJ21+BK21-BL21)</f>
        <v>37000</v>
      </c>
      <c r="BN21" s="154"/>
      <c r="BO21" s="154">
        <v>96000</v>
      </c>
      <c r="BP21" s="154"/>
      <c r="BQ21" s="154"/>
      <c r="BR21" s="154">
        <f>60000+36000</f>
        <v>96000</v>
      </c>
      <c r="BS21" s="154">
        <f t="shared" si="12"/>
        <v>37000</v>
      </c>
      <c r="BT21" s="154"/>
      <c r="BU21" s="154">
        <v>60000</v>
      </c>
      <c r="BV21" s="154"/>
      <c r="BW21" s="154"/>
      <c r="BX21" s="154">
        <f>60000+36000</f>
        <v>96000</v>
      </c>
      <c r="BY21" s="154">
        <f t="shared" si="13"/>
        <v>1000</v>
      </c>
      <c r="BZ21" s="154"/>
      <c r="CA21" s="154"/>
      <c r="CB21" s="154"/>
      <c r="CC21" s="154">
        <f t="shared" si="14"/>
        <v>1000</v>
      </c>
      <c r="CD21" s="154"/>
      <c r="CE21" s="164">
        <f>761200-BL21</f>
        <v>674200</v>
      </c>
      <c r="CF21" s="164"/>
    </row>
    <row r="22" spans="1:83" ht="15.75">
      <c r="A22" s="14" t="s">
        <v>83</v>
      </c>
      <c r="B22" s="32"/>
      <c r="C22" s="32"/>
      <c r="D22" s="32"/>
      <c r="E22" s="13">
        <v>1926099.19</v>
      </c>
      <c r="F22" s="13"/>
      <c r="G22" s="13"/>
      <c r="H22" s="13"/>
      <c r="I22" s="13"/>
      <c r="J22" s="13"/>
      <c r="K22" s="13">
        <f>SUM(E22+G22-H22+I22-J22)</f>
        <v>1926099.19</v>
      </c>
      <c r="L22" s="13"/>
      <c r="M22" s="13"/>
      <c r="N22" s="13"/>
      <c r="O22" s="13"/>
      <c r="P22" s="13"/>
      <c r="Q22" s="13">
        <f t="shared" si="4"/>
        <v>1926099.19</v>
      </c>
      <c r="R22" s="13"/>
      <c r="S22" s="13">
        <v>530364.33</v>
      </c>
      <c r="T22" s="13"/>
      <c r="U22" s="13"/>
      <c r="V22" s="13"/>
      <c r="W22" s="13">
        <f t="shared" si="5"/>
        <v>2456463.52</v>
      </c>
      <c r="X22" s="13"/>
      <c r="Y22" s="13"/>
      <c r="Z22" s="13"/>
      <c r="AA22" s="13"/>
      <c r="AB22" s="13"/>
      <c r="AC22" s="13">
        <f t="shared" si="6"/>
        <v>2456463.52</v>
      </c>
      <c r="AD22" s="13"/>
      <c r="AE22" s="524"/>
      <c r="AF22" s="524"/>
      <c r="AG22" s="13"/>
      <c r="AH22" s="13"/>
      <c r="AI22" s="13">
        <f t="shared" si="7"/>
        <v>2456463.52</v>
      </c>
      <c r="AJ22" s="13"/>
      <c r="AK22" s="13"/>
      <c r="AL22" s="13"/>
      <c r="AM22" s="13"/>
      <c r="AN22" s="13"/>
      <c r="AO22" s="13">
        <f t="shared" si="8"/>
        <v>2456463.52</v>
      </c>
      <c r="AP22" s="13"/>
      <c r="AQ22" s="13"/>
      <c r="AR22" s="13"/>
      <c r="AS22" s="13"/>
      <c r="AT22" s="13"/>
      <c r="AU22" s="13">
        <f t="shared" si="9"/>
        <v>2456463.52</v>
      </c>
      <c r="AV22" s="13"/>
      <c r="AW22" s="13"/>
      <c r="AX22" s="13"/>
      <c r="AY22" s="13"/>
      <c r="AZ22" s="13"/>
      <c r="BA22" s="13">
        <f t="shared" si="10"/>
        <v>2456463.52</v>
      </c>
      <c r="BB22" s="13"/>
      <c r="BC22" s="13"/>
      <c r="BD22" s="13"/>
      <c r="BE22" s="13"/>
      <c r="BF22" s="13"/>
      <c r="BG22" s="13">
        <f t="shared" si="2"/>
        <v>2456463.52</v>
      </c>
      <c r="BH22" s="13"/>
      <c r="BI22" s="13"/>
      <c r="BJ22" s="13"/>
      <c r="BK22" s="13"/>
      <c r="BL22" s="13"/>
      <c r="BM22" s="13">
        <f t="shared" si="11"/>
        <v>2456463.52</v>
      </c>
      <c r="BN22" s="13"/>
      <c r="BO22" s="13"/>
      <c r="BP22" s="13"/>
      <c r="BQ22" s="13"/>
      <c r="BR22" s="13"/>
      <c r="BS22" s="13">
        <f t="shared" si="12"/>
        <v>2456463.52</v>
      </c>
      <c r="BT22" s="13"/>
      <c r="BU22" s="13"/>
      <c r="BV22" s="13"/>
      <c r="BW22" s="13">
        <v>441066.39</v>
      </c>
      <c r="BX22" s="13"/>
      <c r="BY22" s="13">
        <f t="shared" si="13"/>
        <v>2897529.91</v>
      </c>
      <c r="BZ22" s="13"/>
      <c r="CA22" s="13"/>
      <c r="CB22" s="13"/>
      <c r="CC22" s="13">
        <f t="shared" si="14"/>
        <v>2897529.91</v>
      </c>
      <c r="CD22" s="13"/>
      <c r="CE22" s="7">
        <v>122133</v>
      </c>
    </row>
    <row r="23" spans="1:83" ht="15.75">
      <c r="A23" s="14" t="s">
        <v>440</v>
      </c>
      <c r="B23" s="32"/>
      <c r="C23" s="32"/>
      <c r="D23" s="32"/>
      <c r="E23" s="13"/>
      <c r="F23" s="13"/>
      <c r="G23" s="13"/>
      <c r="H23" s="13"/>
      <c r="I23" s="13"/>
      <c r="J23" s="13"/>
      <c r="K23" s="13">
        <f>SUM(E23+G23-H23+I23-J23)</f>
        <v>0</v>
      </c>
      <c r="L23" s="13"/>
      <c r="M23" s="13"/>
      <c r="N23" s="13"/>
      <c r="O23" s="13"/>
      <c r="P23" s="13"/>
      <c r="Q23" s="13">
        <f t="shared" si="4"/>
        <v>0</v>
      </c>
      <c r="R23" s="13"/>
      <c r="S23" s="13">
        <v>646400</v>
      </c>
      <c r="T23" s="13"/>
      <c r="U23" s="13"/>
      <c r="V23" s="13">
        <v>646400</v>
      </c>
      <c r="W23" s="13">
        <f>SUM(Q23+S23-T23+U23-V23)</f>
        <v>0</v>
      </c>
      <c r="X23" s="13"/>
      <c r="Y23" s="13">
        <v>701600</v>
      </c>
      <c r="Z23" s="13"/>
      <c r="AA23" s="13"/>
      <c r="AB23" s="13">
        <v>701600</v>
      </c>
      <c r="AC23" s="13">
        <f t="shared" si="6"/>
        <v>0</v>
      </c>
      <c r="AD23" s="13"/>
      <c r="AE23" s="13">
        <v>700200</v>
      </c>
      <c r="AF23" s="524"/>
      <c r="AG23" s="13"/>
      <c r="AH23" s="13">
        <v>700200</v>
      </c>
      <c r="AI23" s="13">
        <f t="shared" si="7"/>
        <v>0</v>
      </c>
      <c r="AJ23" s="13"/>
      <c r="AK23" s="13">
        <v>699100</v>
      </c>
      <c r="AL23" s="13"/>
      <c r="AM23" s="13"/>
      <c r="AN23" s="13">
        <v>699100</v>
      </c>
      <c r="AO23" s="13">
        <f t="shared" si="8"/>
        <v>0</v>
      </c>
      <c r="AP23" s="13"/>
      <c r="AQ23" s="13"/>
      <c r="AR23" s="13"/>
      <c r="AS23" s="13"/>
      <c r="AT23" s="13"/>
      <c r="AU23" s="13">
        <f t="shared" si="9"/>
        <v>0</v>
      </c>
      <c r="AV23" s="13"/>
      <c r="AW23" s="13"/>
      <c r="AX23" s="13"/>
      <c r="AY23" s="13"/>
      <c r="AZ23" s="13"/>
      <c r="BA23" s="13">
        <f>SUM(AU23+AW23-AX23+AY23-AZ23)</f>
        <v>0</v>
      </c>
      <c r="BB23" s="13"/>
      <c r="BC23" s="13"/>
      <c r="BD23" s="13"/>
      <c r="BE23" s="13"/>
      <c r="BF23" s="13"/>
      <c r="BG23" s="13"/>
      <c r="BH23" s="13"/>
      <c r="BI23" s="13">
        <v>1329900</v>
      </c>
      <c r="BJ23" s="13"/>
      <c r="BK23" s="13"/>
      <c r="BL23" s="13">
        <f>53500+611200</f>
        <v>664700</v>
      </c>
      <c r="BM23" s="13">
        <f>SUM(BG23+BI23-BJ23+BK23-BL23)</f>
        <v>665200</v>
      </c>
      <c r="BN23" s="13"/>
      <c r="BO23" s="13"/>
      <c r="BP23" s="13"/>
      <c r="BQ23" s="13"/>
      <c r="BR23" s="154">
        <v>665200</v>
      </c>
      <c r="BS23" s="13">
        <f>SUM(BM23+BO23-BP23+BQ23-BR23)</f>
        <v>0</v>
      </c>
      <c r="BT23" s="13"/>
      <c r="BU23" s="13">
        <v>664000</v>
      </c>
      <c r="BV23" s="13"/>
      <c r="BW23" s="13"/>
      <c r="BX23" s="13">
        <f>610000+54000</f>
        <v>664000</v>
      </c>
      <c r="BY23" s="13">
        <f t="shared" si="13"/>
        <v>0</v>
      </c>
      <c r="BZ23" s="13"/>
      <c r="CA23" s="13"/>
      <c r="CB23" s="13"/>
      <c r="CC23" s="13">
        <f t="shared" si="14"/>
        <v>0</v>
      </c>
      <c r="CD23" s="13"/>
      <c r="CE23" s="7">
        <v>3480</v>
      </c>
    </row>
    <row r="24" spans="1:83" ht="15.75">
      <c r="A24" s="14"/>
      <c r="B24" s="32"/>
      <c r="C24" s="32"/>
      <c r="D24" s="3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524"/>
      <c r="AF24" s="524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7">
        <f>SUM(CE22:CE23)</f>
        <v>125613</v>
      </c>
    </row>
    <row r="25" spans="1:84" s="258" customFormat="1" ht="15.75">
      <c r="A25" s="718" t="s">
        <v>84</v>
      </c>
      <c r="B25" s="719"/>
      <c r="C25" s="719"/>
      <c r="D25" s="719"/>
      <c r="E25" s="256">
        <f>SUM(E4:E5,E18:E24)</f>
        <v>29056374.560000002</v>
      </c>
      <c r="F25" s="256">
        <f aca="true" t="shared" si="15" ref="F25:BP25">SUM(F4:F5,F18:F24)</f>
        <v>0</v>
      </c>
      <c r="G25" s="256">
        <f>SUM(G4,G5,G18:G24)</f>
        <v>1791261.8399999999</v>
      </c>
      <c r="H25" s="256">
        <f t="shared" si="15"/>
        <v>2174855.7699999996</v>
      </c>
      <c r="I25" s="256">
        <f t="shared" si="15"/>
        <v>12167559.51</v>
      </c>
      <c r="J25" s="256">
        <f t="shared" si="15"/>
        <v>12169267.18</v>
      </c>
      <c r="K25" s="256">
        <f>SUM(K4:K5,K18:K24)</f>
        <v>28671072.96</v>
      </c>
      <c r="L25" s="256">
        <f>SUM(L4:L5,L18:L24)</f>
        <v>0</v>
      </c>
      <c r="M25" s="256">
        <f t="shared" si="15"/>
        <v>6634477.590000001</v>
      </c>
      <c r="N25" s="256">
        <f t="shared" si="15"/>
        <v>3459080.86</v>
      </c>
      <c r="O25" s="256">
        <f t="shared" si="15"/>
        <v>3458985.86</v>
      </c>
      <c r="P25" s="256">
        <f t="shared" si="15"/>
        <v>3600693.6399999997</v>
      </c>
      <c r="Q25" s="256">
        <f>SUM(Q4:Q5,Q18:Q24)</f>
        <v>31704761.910000008</v>
      </c>
      <c r="R25" s="256">
        <f>SUM(R4:R5,R18:R24)</f>
        <v>0</v>
      </c>
      <c r="S25" s="256">
        <f t="shared" si="15"/>
        <v>18768015.99</v>
      </c>
      <c r="T25" s="256">
        <f t="shared" si="15"/>
        <v>3233949.29</v>
      </c>
      <c r="U25" s="256">
        <f t="shared" si="15"/>
        <v>3223989.29</v>
      </c>
      <c r="V25" s="256">
        <f t="shared" si="15"/>
        <v>5762069.29</v>
      </c>
      <c r="W25" s="256">
        <f t="shared" si="15"/>
        <v>44700748.610000014</v>
      </c>
      <c r="X25" s="256">
        <f t="shared" si="15"/>
        <v>0</v>
      </c>
      <c r="Y25" s="256">
        <f t="shared" si="15"/>
        <v>3349443.83</v>
      </c>
      <c r="Z25" s="256">
        <f t="shared" si="15"/>
        <v>3733908.2800000003</v>
      </c>
      <c r="AA25" s="256">
        <f t="shared" si="15"/>
        <v>13733908.280000001</v>
      </c>
      <c r="AB25" s="256">
        <f t="shared" si="15"/>
        <v>14449468.280000001</v>
      </c>
      <c r="AC25" s="256">
        <f t="shared" si="15"/>
        <v>43600724.16000001</v>
      </c>
      <c r="AD25" s="256">
        <f t="shared" si="15"/>
        <v>0</v>
      </c>
      <c r="AE25" s="256">
        <f>SUM(AE4:AE5,AE18:AE24)</f>
        <v>11231620.07</v>
      </c>
      <c r="AF25" s="256">
        <f>SUM(AF4:AF5,AF18:AF24)</f>
        <v>2883029.4</v>
      </c>
      <c r="AG25" s="256">
        <f t="shared" si="15"/>
        <v>2889287.0900000003</v>
      </c>
      <c r="AH25" s="256">
        <f t="shared" si="15"/>
        <v>3784367.0900000003</v>
      </c>
      <c r="AI25" s="256">
        <f t="shared" si="15"/>
        <v>51054234.83000001</v>
      </c>
      <c r="AJ25" s="256">
        <f t="shared" si="15"/>
        <v>0</v>
      </c>
      <c r="AK25" s="256">
        <f t="shared" si="15"/>
        <v>1325545.77</v>
      </c>
      <c r="AL25" s="256">
        <f t="shared" si="15"/>
        <v>6005984.79</v>
      </c>
      <c r="AM25" s="256">
        <f t="shared" si="15"/>
        <v>16005384.79</v>
      </c>
      <c r="AN25" s="256">
        <f t="shared" si="15"/>
        <v>16993924.79</v>
      </c>
      <c r="AO25" s="256">
        <f t="shared" si="15"/>
        <v>45385255.81000002</v>
      </c>
      <c r="AP25" s="256">
        <f t="shared" si="15"/>
        <v>0</v>
      </c>
      <c r="AQ25" s="256">
        <f t="shared" si="15"/>
        <v>0</v>
      </c>
      <c r="AR25" s="256">
        <f t="shared" si="15"/>
        <v>0</v>
      </c>
      <c r="AS25" s="256">
        <f t="shared" si="15"/>
        <v>0</v>
      </c>
      <c r="AT25" s="256">
        <f t="shared" si="15"/>
        <v>0</v>
      </c>
      <c r="AU25" s="256">
        <f aca="true" t="shared" si="16" ref="AU25:BA25">SUM(AU4:AU5,AU18:AU24)</f>
        <v>45385255.81000002</v>
      </c>
      <c r="AV25" s="256">
        <f t="shared" si="16"/>
        <v>0</v>
      </c>
      <c r="AW25" s="256">
        <f t="shared" si="16"/>
        <v>4938922.54</v>
      </c>
      <c r="AX25" s="256">
        <f t="shared" si="16"/>
        <v>3651614.2</v>
      </c>
      <c r="AY25" s="256">
        <f t="shared" si="16"/>
        <v>3649812.69</v>
      </c>
      <c r="AZ25" s="256">
        <f t="shared" si="16"/>
        <v>4079464.69</v>
      </c>
      <c r="BA25" s="256">
        <f t="shared" si="16"/>
        <v>46242912.15000001</v>
      </c>
      <c r="BB25" s="256">
        <f t="shared" si="15"/>
        <v>0</v>
      </c>
      <c r="BC25" s="256">
        <f t="shared" si="15"/>
        <v>1290102.2999999998</v>
      </c>
      <c r="BD25" s="256">
        <f t="shared" si="15"/>
        <v>3884284.1599999997</v>
      </c>
      <c r="BE25" s="256">
        <f t="shared" si="15"/>
        <v>3883403.13</v>
      </c>
      <c r="BF25" s="256">
        <f t="shared" si="15"/>
        <v>3889803.13</v>
      </c>
      <c r="BG25" s="256">
        <f>SUM(BG4:BG5,BG18:BG24)</f>
        <v>43642330.29000002</v>
      </c>
      <c r="BH25" s="256">
        <f>SUM(BH4:BH5,BH18:BH24)</f>
        <v>0</v>
      </c>
      <c r="BI25" s="256">
        <f t="shared" si="15"/>
        <v>3567155.44</v>
      </c>
      <c r="BJ25" s="256">
        <f t="shared" si="15"/>
        <v>5814138.62</v>
      </c>
      <c r="BK25" s="256">
        <f t="shared" si="15"/>
        <v>5762724.96</v>
      </c>
      <c r="BL25" s="256">
        <f t="shared" si="15"/>
        <v>6517739.96</v>
      </c>
      <c r="BM25" s="256">
        <f>SUM(BM4:BM5,BM18:BM24)</f>
        <v>40640332.11000002</v>
      </c>
      <c r="BN25" s="256">
        <f t="shared" si="15"/>
        <v>0</v>
      </c>
      <c r="BO25" s="256">
        <f t="shared" si="15"/>
        <v>1058800.6099999999</v>
      </c>
      <c r="BP25" s="256">
        <f t="shared" si="15"/>
        <v>1441378.9799999997</v>
      </c>
      <c r="BQ25" s="256">
        <f>SUM(BQ4:BQ5,BQ18:BQ24)</f>
        <v>1437266.5499999998</v>
      </c>
      <c r="BR25" s="256">
        <f>SUM(BR4:BR5,BR18:BR24)</f>
        <v>2424697.05</v>
      </c>
      <c r="BS25" s="256">
        <f aca="true" t="shared" si="17" ref="BS25:BX25">SUM(BS4:BS5,BS18:BS24)</f>
        <v>39270323.24000002</v>
      </c>
      <c r="BT25" s="256">
        <f t="shared" si="17"/>
        <v>0</v>
      </c>
      <c r="BU25" s="256">
        <f t="shared" si="17"/>
        <v>2358722.0199999996</v>
      </c>
      <c r="BV25" s="256">
        <f t="shared" si="17"/>
        <v>4497931.26</v>
      </c>
      <c r="BW25" s="256">
        <f t="shared" si="17"/>
        <v>4940123.26</v>
      </c>
      <c r="BX25" s="256">
        <f t="shared" si="17"/>
        <v>5370957.3</v>
      </c>
      <c r="BY25" s="256">
        <f aca="true" t="shared" si="18" ref="BY25:CD25">SUM(BY4:BY5,BY18:BY24)</f>
        <v>36700279.96000002</v>
      </c>
      <c r="BZ25" s="256">
        <f t="shared" si="18"/>
        <v>0</v>
      </c>
      <c r="CA25" s="256">
        <f t="shared" si="18"/>
        <v>0</v>
      </c>
      <c r="CB25" s="256">
        <f t="shared" si="18"/>
        <v>0</v>
      </c>
      <c r="CC25" s="256">
        <f t="shared" si="18"/>
        <v>36700279.96000002</v>
      </c>
      <c r="CD25" s="256">
        <f t="shared" si="18"/>
        <v>0</v>
      </c>
      <c r="CE25" s="257">
        <f>+CE24-BA20</f>
        <v>129293</v>
      </c>
      <c r="CF25" s="257"/>
    </row>
    <row r="26" spans="1:82" ht="15.75">
      <c r="A26" s="725" t="s">
        <v>37</v>
      </c>
      <c r="B26" s="726"/>
      <c r="C26" s="726"/>
      <c r="D26" s="726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524"/>
      <c r="AF26" s="524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</row>
    <row r="27" spans="1:82" ht="15.75">
      <c r="A27" s="14" t="s">
        <v>90</v>
      </c>
      <c r="B27" s="32"/>
      <c r="C27" s="32"/>
      <c r="D27" s="32"/>
      <c r="E27" s="13"/>
      <c r="F27" s="13">
        <v>5100380</v>
      </c>
      <c r="G27" s="13">
        <v>157910</v>
      </c>
      <c r="H27" s="13"/>
      <c r="I27" s="13"/>
      <c r="J27" s="13"/>
      <c r="K27" s="13"/>
      <c r="L27" s="13">
        <f aca="true" t="shared" si="19" ref="L27:L32">SUM(F27-G27+H27-I27+J27)</f>
        <v>4942470</v>
      </c>
      <c r="M27" s="13"/>
      <c r="N27" s="13"/>
      <c r="O27" s="13"/>
      <c r="P27" s="13"/>
      <c r="Q27" s="13"/>
      <c r="R27" s="13">
        <f aca="true" t="shared" si="20" ref="R27:R32">SUM(L27-M27+N27-O27+P27)</f>
        <v>4942470</v>
      </c>
      <c r="S27" s="13"/>
      <c r="T27" s="13"/>
      <c r="U27" s="13"/>
      <c r="V27" s="13"/>
      <c r="W27" s="13"/>
      <c r="X27" s="13">
        <f aca="true" t="shared" si="21" ref="X27:X32">SUM(R27-S27+T27-U27+V27)</f>
        <v>4942470</v>
      </c>
      <c r="Y27" s="13"/>
      <c r="Z27" s="13"/>
      <c r="AA27" s="13"/>
      <c r="AB27" s="13"/>
      <c r="AC27" s="13"/>
      <c r="AD27" s="13">
        <f aca="true" t="shared" si="22" ref="AD27:AD32">SUM(X27-Y27+Z27-AA27+AB27)</f>
        <v>4942470</v>
      </c>
      <c r="AE27" s="13">
        <v>252700</v>
      </c>
      <c r="AF27" s="524"/>
      <c r="AG27" s="13"/>
      <c r="AH27" s="13"/>
      <c r="AI27" s="13"/>
      <c r="AJ27" s="13">
        <f aca="true" t="shared" si="23" ref="AJ27:AJ32">SUM(AD27-AE27+AF27-AG27+AH27)</f>
        <v>4689770</v>
      </c>
      <c r="AK27" s="13">
        <v>3166900</v>
      </c>
      <c r="AL27" s="13"/>
      <c r="AM27" s="13"/>
      <c r="AN27" s="13"/>
      <c r="AO27" s="13"/>
      <c r="AP27" s="13">
        <f aca="true" t="shared" si="24" ref="AP27:AP32">SUM(AJ27-AK27+AL27-AM27+AN27)</f>
        <v>1522870</v>
      </c>
      <c r="AQ27" s="13"/>
      <c r="AR27" s="13"/>
      <c r="AS27" s="13"/>
      <c r="AT27" s="13"/>
      <c r="AU27" s="13"/>
      <c r="AV27" s="13">
        <f aca="true" t="shared" si="25" ref="AV27:AV32">SUM(AP27-AQ27+AR27-AS27+AT27)</f>
        <v>1522870</v>
      </c>
      <c r="AW27" s="13"/>
      <c r="AX27" s="13"/>
      <c r="AY27" s="13"/>
      <c r="AZ27" s="13"/>
      <c r="BA27" s="13"/>
      <c r="BB27" s="13">
        <f aca="true" t="shared" si="26" ref="BB27:BB32">SUM(AV27-AW27+AX27-AY27+AZ27)</f>
        <v>1522870</v>
      </c>
      <c r="BC27" s="13"/>
      <c r="BD27" s="13"/>
      <c r="BE27" s="13"/>
      <c r="BF27" s="13"/>
      <c r="BG27" s="13"/>
      <c r="BH27" s="13">
        <f aca="true" t="shared" si="27" ref="BH27:BH32">SUM(BB27-BC27+BD27-BE27+BF27)</f>
        <v>1522870</v>
      </c>
      <c r="BI27" s="13"/>
      <c r="BJ27" s="13"/>
      <c r="BK27" s="13"/>
      <c r="BL27" s="13"/>
      <c r="BM27" s="13"/>
      <c r="BN27" s="13">
        <f aca="true" t="shared" si="28" ref="BN27:BN32">SUM(BH27-BI27+BJ27-BK27+BL27)</f>
        <v>1522870</v>
      </c>
      <c r="BO27" s="13"/>
      <c r="BP27" s="13"/>
      <c r="BQ27" s="13"/>
      <c r="BR27" s="13"/>
      <c r="BS27" s="13"/>
      <c r="BT27" s="13">
        <f aca="true" t="shared" si="29" ref="BT27:BT32">SUM(BN27-BO27+BP27-BQ27+BR27)</f>
        <v>1522870</v>
      </c>
      <c r="BU27" s="13"/>
      <c r="BV27" s="13"/>
      <c r="BW27" s="13"/>
      <c r="BX27" s="13">
        <f>426200+194500+73400+18400+411800+89800+134900+31500+327800+71000+493700+105000+412700+91900+427700+91300+936140+195000+269700+58800+22530+91400+44980+8970+9560+54000+4200+3500</f>
        <v>5100380</v>
      </c>
      <c r="BY27" s="13"/>
      <c r="BZ27" s="13">
        <f aca="true" t="shared" si="30" ref="BZ27:BZ32">SUM(BT27-BU27+BV27-BW27+BX27)</f>
        <v>6623250</v>
      </c>
      <c r="CA27" s="13"/>
      <c r="CB27" s="13"/>
      <c r="CC27" s="13"/>
      <c r="CD27" s="13">
        <f>+BZ27+CB27-BY27-CA27</f>
        <v>6623250</v>
      </c>
    </row>
    <row r="28" spans="1:82" ht="15.75">
      <c r="A28" s="14" t="s">
        <v>91</v>
      </c>
      <c r="B28" s="32"/>
      <c r="C28" s="32"/>
      <c r="D28" s="32"/>
      <c r="E28" s="13"/>
      <c r="F28" s="13">
        <v>0</v>
      </c>
      <c r="G28" s="13"/>
      <c r="H28" s="13"/>
      <c r="I28" s="13"/>
      <c r="J28" s="13"/>
      <c r="K28" s="13"/>
      <c r="L28" s="13">
        <f t="shared" si="19"/>
        <v>0</v>
      </c>
      <c r="M28" s="13"/>
      <c r="N28" s="13"/>
      <c r="O28" s="13"/>
      <c r="P28" s="13"/>
      <c r="Q28" s="13"/>
      <c r="R28" s="13">
        <f t="shared" si="20"/>
        <v>0</v>
      </c>
      <c r="S28" s="13"/>
      <c r="T28" s="13"/>
      <c r="U28" s="13"/>
      <c r="V28" s="13"/>
      <c r="W28" s="13"/>
      <c r="X28" s="13">
        <f t="shared" si="21"/>
        <v>0</v>
      </c>
      <c r="Y28" s="13"/>
      <c r="Z28" s="13"/>
      <c r="AA28" s="13"/>
      <c r="AB28" s="13"/>
      <c r="AC28" s="13"/>
      <c r="AD28" s="13">
        <f t="shared" si="22"/>
        <v>0</v>
      </c>
      <c r="AE28" s="524"/>
      <c r="AF28" s="524"/>
      <c r="AG28" s="13"/>
      <c r="AH28" s="13"/>
      <c r="AI28" s="13"/>
      <c r="AJ28" s="13">
        <f t="shared" si="23"/>
        <v>0</v>
      </c>
      <c r="AK28" s="13"/>
      <c r="AL28" s="13"/>
      <c r="AM28" s="13"/>
      <c r="AN28" s="13"/>
      <c r="AO28" s="13"/>
      <c r="AP28" s="13">
        <f t="shared" si="24"/>
        <v>0</v>
      </c>
      <c r="AQ28" s="13"/>
      <c r="AR28" s="13"/>
      <c r="AS28" s="13"/>
      <c r="AT28" s="13"/>
      <c r="AU28" s="13"/>
      <c r="AV28" s="13">
        <f t="shared" si="25"/>
        <v>0</v>
      </c>
      <c r="AW28" s="13"/>
      <c r="AX28" s="13"/>
      <c r="AY28" s="13"/>
      <c r="AZ28" s="13"/>
      <c r="BA28" s="13"/>
      <c r="BB28" s="13">
        <f t="shared" si="26"/>
        <v>0</v>
      </c>
      <c r="BC28" s="13"/>
      <c r="BD28" s="13"/>
      <c r="BE28" s="13"/>
      <c r="BF28" s="13"/>
      <c r="BG28" s="13"/>
      <c r="BH28" s="13">
        <f t="shared" si="27"/>
        <v>0</v>
      </c>
      <c r="BI28" s="13"/>
      <c r="BJ28" s="13"/>
      <c r="BK28" s="13"/>
      <c r="BL28" s="13"/>
      <c r="BM28" s="13"/>
      <c r="BN28" s="13">
        <f t="shared" si="28"/>
        <v>0</v>
      </c>
      <c r="BO28" s="13"/>
      <c r="BP28" s="13"/>
      <c r="BQ28" s="13"/>
      <c r="BR28" s="13"/>
      <c r="BS28" s="13"/>
      <c r="BT28" s="13">
        <f t="shared" si="29"/>
        <v>0</v>
      </c>
      <c r="BU28" s="13"/>
      <c r="BV28" s="13"/>
      <c r="BW28" s="13"/>
      <c r="BX28" s="13">
        <v>0</v>
      </c>
      <c r="BY28" s="13"/>
      <c r="BZ28" s="13">
        <f t="shared" si="30"/>
        <v>0</v>
      </c>
      <c r="CA28" s="13">
        <v>19139.22</v>
      </c>
      <c r="CB28" s="13"/>
      <c r="CC28" s="13"/>
      <c r="CD28" s="13">
        <f>+CA28-BZ28</f>
        <v>19139.22</v>
      </c>
    </row>
    <row r="29" spans="1:82" ht="15.75">
      <c r="A29" s="14"/>
      <c r="B29" s="32"/>
      <c r="C29" s="32"/>
      <c r="D29" s="32"/>
      <c r="E29" s="13"/>
      <c r="F29" s="13">
        <v>0</v>
      </c>
      <c r="G29" s="13"/>
      <c r="H29" s="13"/>
      <c r="I29" s="13"/>
      <c r="J29" s="13"/>
      <c r="K29" s="13"/>
      <c r="L29" s="13">
        <f t="shared" si="19"/>
        <v>0</v>
      </c>
      <c r="M29" s="13"/>
      <c r="N29" s="13"/>
      <c r="O29" s="13"/>
      <c r="P29" s="13"/>
      <c r="Q29" s="13"/>
      <c r="R29" s="13">
        <f t="shared" si="20"/>
        <v>0</v>
      </c>
      <c r="S29" s="13"/>
      <c r="T29" s="13"/>
      <c r="U29" s="13"/>
      <c r="V29" s="13"/>
      <c r="W29" s="13"/>
      <c r="X29" s="13">
        <f t="shared" si="21"/>
        <v>0</v>
      </c>
      <c r="Y29" s="13"/>
      <c r="Z29" s="13"/>
      <c r="AA29" s="13"/>
      <c r="AB29" s="13"/>
      <c r="AC29" s="13"/>
      <c r="AD29" s="13">
        <f t="shared" si="22"/>
        <v>0</v>
      </c>
      <c r="AE29" s="524"/>
      <c r="AF29" s="524"/>
      <c r="AG29" s="13"/>
      <c r="AH29" s="13"/>
      <c r="AI29" s="13"/>
      <c r="AJ29" s="13">
        <f t="shared" si="23"/>
        <v>0</v>
      </c>
      <c r="AK29" s="13"/>
      <c r="AL29" s="13"/>
      <c r="AM29" s="13"/>
      <c r="AN29" s="13"/>
      <c r="AO29" s="13"/>
      <c r="AP29" s="13">
        <f t="shared" si="24"/>
        <v>0</v>
      </c>
      <c r="AQ29" s="13"/>
      <c r="AR29" s="13"/>
      <c r="AS29" s="13"/>
      <c r="AT29" s="13"/>
      <c r="AU29" s="13"/>
      <c r="AV29" s="13">
        <f t="shared" si="25"/>
        <v>0</v>
      </c>
      <c r="AW29" s="13"/>
      <c r="AX29" s="13"/>
      <c r="AY29" s="13"/>
      <c r="AZ29" s="13"/>
      <c r="BA29" s="13"/>
      <c r="BB29" s="13">
        <f t="shared" si="26"/>
        <v>0</v>
      </c>
      <c r="BC29" s="13"/>
      <c r="BD29" s="13"/>
      <c r="BE29" s="13"/>
      <c r="BF29" s="13"/>
      <c r="BG29" s="13"/>
      <c r="BH29" s="13">
        <f t="shared" si="27"/>
        <v>0</v>
      </c>
      <c r="BI29" s="13"/>
      <c r="BJ29" s="13"/>
      <c r="BK29" s="13"/>
      <c r="BL29" s="13"/>
      <c r="BM29" s="13"/>
      <c r="BN29" s="13">
        <f t="shared" si="28"/>
        <v>0</v>
      </c>
      <c r="BO29" s="13"/>
      <c r="BP29" s="13"/>
      <c r="BQ29" s="13"/>
      <c r="BR29" s="13"/>
      <c r="BS29" s="13"/>
      <c r="BT29" s="13">
        <f t="shared" si="29"/>
        <v>0</v>
      </c>
      <c r="BU29" s="13">
        <v>9086</v>
      </c>
      <c r="BV29" s="13"/>
      <c r="BW29" s="13">
        <v>14</v>
      </c>
      <c r="BX29" s="13"/>
      <c r="BY29" s="13"/>
      <c r="BZ29" s="13">
        <f t="shared" si="30"/>
        <v>-9100</v>
      </c>
      <c r="CA29" s="13"/>
      <c r="CB29" s="13"/>
      <c r="CC29" s="13"/>
      <c r="CD29" s="13">
        <f>+BZ29+CB29-BY29-CA29</f>
        <v>-9100</v>
      </c>
    </row>
    <row r="30" spans="1:82" ht="15.75" hidden="1">
      <c r="A30" s="14"/>
      <c r="B30" s="32"/>
      <c r="C30" s="32"/>
      <c r="D30" s="32"/>
      <c r="E30" s="13"/>
      <c r="F30" s="13">
        <v>0</v>
      </c>
      <c r="G30" s="13"/>
      <c r="H30" s="13"/>
      <c r="I30" s="13"/>
      <c r="J30" s="13"/>
      <c r="K30" s="13"/>
      <c r="L30" s="13">
        <f t="shared" si="19"/>
        <v>0</v>
      </c>
      <c r="M30" s="13"/>
      <c r="N30" s="13"/>
      <c r="O30" s="13"/>
      <c r="P30" s="13"/>
      <c r="Q30" s="13"/>
      <c r="R30" s="13">
        <f t="shared" si="20"/>
        <v>0</v>
      </c>
      <c r="S30" s="13"/>
      <c r="T30" s="13"/>
      <c r="U30" s="13"/>
      <c r="V30" s="13"/>
      <c r="W30" s="13"/>
      <c r="X30" s="13">
        <f t="shared" si="21"/>
        <v>0</v>
      </c>
      <c r="Y30" s="13"/>
      <c r="Z30" s="13"/>
      <c r="AA30" s="13"/>
      <c r="AB30" s="13"/>
      <c r="AC30" s="13"/>
      <c r="AD30" s="13">
        <f t="shared" si="22"/>
        <v>0</v>
      </c>
      <c r="AE30" s="524"/>
      <c r="AF30" s="524"/>
      <c r="AG30" s="13"/>
      <c r="AH30" s="13"/>
      <c r="AI30" s="13"/>
      <c r="AJ30" s="13">
        <f t="shared" si="23"/>
        <v>0</v>
      </c>
      <c r="AK30" s="13"/>
      <c r="AL30" s="13"/>
      <c r="AM30" s="13"/>
      <c r="AN30" s="13"/>
      <c r="AO30" s="13"/>
      <c r="AP30" s="13">
        <f t="shared" si="24"/>
        <v>0</v>
      </c>
      <c r="AQ30" s="13"/>
      <c r="AR30" s="13"/>
      <c r="AS30" s="13"/>
      <c r="AT30" s="13"/>
      <c r="AU30" s="13"/>
      <c r="AV30" s="13">
        <f t="shared" si="25"/>
        <v>0</v>
      </c>
      <c r="AW30" s="13"/>
      <c r="AX30" s="13"/>
      <c r="AY30" s="13"/>
      <c r="AZ30" s="13"/>
      <c r="BA30" s="13"/>
      <c r="BB30" s="13">
        <f t="shared" si="26"/>
        <v>0</v>
      </c>
      <c r="BC30" s="13"/>
      <c r="BD30" s="13"/>
      <c r="BE30" s="13"/>
      <c r="BF30" s="13"/>
      <c r="BG30" s="13"/>
      <c r="BH30" s="13">
        <f t="shared" si="27"/>
        <v>0</v>
      </c>
      <c r="BI30" s="13"/>
      <c r="BJ30" s="13"/>
      <c r="BK30" s="13"/>
      <c r="BL30" s="13"/>
      <c r="BM30" s="13"/>
      <c r="BN30" s="13">
        <f t="shared" si="28"/>
        <v>0</v>
      </c>
      <c r="BO30" s="13"/>
      <c r="BP30" s="13"/>
      <c r="BQ30" s="13"/>
      <c r="BR30" s="13"/>
      <c r="BS30" s="13"/>
      <c r="BT30" s="13">
        <f t="shared" si="29"/>
        <v>0</v>
      </c>
      <c r="BU30" s="13"/>
      <c r="BV30" s="13"/>
      <c r="BW30" s="13"/>
      <c r="BX30" s="13"/>
      <c r="BY30" s="13"/>
      <c r="BZ30" s="13">
        <f t="shared" si="30"/>
        <v>0</v>
      </c>
      <c r="CA30" s="13"/>
      <c r="CB30" s="13"/>
      <c r="CC30" s="13"/>
      <c r="CD30" s="13">
        <f>+BZ30+CB30-BY30-CA30</f>
        <v>0</v>
      </c>
    </row>
    <row r="31" spans="1:82" ht="15.75" hidden="1">
      <c r="A31" s="14"/>
      <c r="B31" s="32"/>
      <c r="C31" s="32"/>
      <c r="D31" s="32"/>
      <c r="E31" s="13"/>
      <c r="F31" s="13"/>
      <c r="G31" s="13"/>
      <c r="H31" s="13"/>
      <c r="I31" s="13"/>
      <c r="J31" s="13"/>
      <c r="K31" s="13"/>
      <c r="L31" s="13">
        <f t="shared" si="19"/>
        <v>0</v>
      </c>
      <c r="M31" s="13"/>
      <c r="N31" s="13"/>
      <c r="O31" s="13"/>
      <c r="P31" s="13"/>
      <c r="Q31" s="13"/>
      <c r="R31" s="13">
        <f t="shared" si="20"/>
        <v>0</v>
      </c>
      <c r="S31" s="13"/>
      <c r="T31" s="13"/>
      <c r="U31" s="13"/>
      <c r="V31" s="13"/>
      <c r="W31" s="13"/>
      <c r="X31" s="13">
        <f t="shared" si="21"/>
        <v>0</v>
      </c>
      <c r="Y31" s="13"/>
      <c r="Z31" s="13"/>
      <c r="AA31" s="13"/>
      <c r="AB31" s="13"/>
      <c r="AC31" s="13"/>
      <c r="AD31" s="13">
        <f t="shared" si="22"/>
        <v>0</v>
      </c>
      <c r="AE31" s="524"/>
      <c r="AF31" s="524"/>
      <c r="AG31" s="13"/>
      <c r="AH31" s="13"/>
      <c r="AI31" s="13"/>
      <c r="AJ31" s="13">
        <f t="shared" si="23"/>
        <v>0</v>
      </c>
      <c r="AK31" s="13"/>
      <c r="AL31" s="13"/>
      <c r="AM31" s="13"/>
      <c r="AN31" s="13"/>
      <c r="AO31" s="13"/>
      <c r="AP31" s="13">
        <f t="shared" si="24"/>
        <v>0</v>
      </c>
      <c r="AQ31" s="13"/>
      <c r="AR31" s="13"/>
      <c r="AS31" s="13"/>
      <c r="AT31" s="13"/>
      <c r="AU31" s="13"/>
      <c r="AV31" s="13">
        <f t="shared" si="25"/>
        <v>0</v>
      </c>
      <c r="AW31" s="13"/>
      <c r="AX31" s="13"/>
      <c r="AY31" s="13"/>
      <c r="AZ31" s="13"/>
      <c r="BA31" s="13"/>
      <c r="BB31" s="13">
        <f t="shared" si="26"/>
        <v>0</v>
      </c>
      <c r="BC31" s="13"/>
      <c r="BD31" s="13"/>
      <c r="BE31" s="13"/>
      <c r="BF31" s="13"/>
      <c r="BG31" s="13"/>
      <c r="BH31" s="13">
        <f t="shared" si="27"/>
        <v>0</v>
      </c>
      <c r="BI31" s="13"/>
      <c r="BJ31" s="13"/>
      <c r="BK31" s="13"/>
      <c r="BL31" s="13"/>
      <c r="BM31" s="13"/>
      <c r="BN31" s="13">
        <f t="shared" si="28"/>
        <v>0</v>
      </c>
      <c r="BO31" s="13"/>
      <c r="BP31" s="13"/>
      <c r="BQ31" s="13"/>
      <c r="BR31" s="13"/>
      <c r="BS31" s="13"/>
      <c r="BT31" s="13">
        <f t="shared" si="29"/>
        <v>0</v>
      </c>
      <c r="BU31" s="13"/>
      <c r="BV31" s="13"/>
      <c r="BW31" s="13"/>
      <c r="BX31" s="13"/>
      <c r="BY31" s="13"/>
      <c r="BZ31" s="13">
        <f t="shared" si="30"/>
        <v>0</v>
      </c>
      <c r="CA31" s="13"/>
      <c r="CB31" s="13"/>
      <c r="CC31" s="13"/>
      <c r="CD31" s="13">
        <f>SUM(BX31-BY31+BZ31-CA31+CB31)</f>
        <v>0</v>
      </c>
    </row>
    <row r="32" spans="1:82" ht="15.75" hidden="1">
      <c r="A32" s="14"/>
      <c r="B32" s="32"/>
      <c r="C32" s="32"/>
      <c r="D32" s="32"/>
      <c r="E32" s="13"/>
      <c r="F32" s="13"/>
      <c r="G32" s="13"/>
      <c r="H32" s="13"/>
      <c r="I32" s="13"/>
      <c r="J32" s="13"/>
      <c r="K32" s="13"/>
      <c r="L32" s="13">
        <f t="shared" si="19"/>
        <v>0</v>
      </c>
      <c r="M32" s="13"/>
      <c r="N32" s="13"/>
      <c r="O32" s="13"/>
      <c r="P32" s="13"/>
      <c r="Q32" s="13"/>
      <c r="R32" s="13">
        <f t="shared" si="20"/>
        <v>0</v>
      </c>
      <c r="S32" s="13"/>
      <c r="T32" s="13"/>
      <c r="U32" s="13"/>
      <c r="V32" s="13"/>
      <c r="W32" s="13"/>
      <c r="X32" s="13">
        <f t="shared" si="21"/>
        <v>0</v>
      </c>
      <c r="Y32" s="13"/>
      <c r="Z32" s="13"/>
      <c r="AA32" s="13"/>
      <c r="AB32" s="13"/>
      <c r="AC32" s="13"/>
      <c r="AD32" s="13">
        <f t="shared" si="22"/>
        <v>0</v>
      </c>
      <c r="AE32" s="524"/>
      <c r="AF32" s="524"/>
      <c r="AG32" s="13"/>
      <c r="AH32" s="13"/>
      <c r="AI32" s="13"/>
      <c r="AJ32" s="13">
        <f t="shared" si="23"/>
        <v>0</v>
      </c>
      <c r="AK32" s="13"/>
      <c r="AL32" s="13"/>
      <c r="AM32" s="13"/>
      <c r="AN32" s="13"/>
      <c r="AO32" s="13"/>
      <c r="AP32" s="13">
        <f t="shared" si="24"/>
        <v>0</v>
      </c>
      <c r="AQ32" s="13"/>
      <c r="AR32" s="13"/>
      <c r="AS32" s="13"/>
      <c r="AT32" s="13"/>
      <c r="AU32" s="13"/>
      <c r="AV32" s="13">
        <f t="shared" si="25"/>
        <v>0</v>
      </c>
      <c r="AW32" s="13"/>
      <c r="AX32" s="13"/>
      <c r="AY32" s="13"/>
      <c r="AZ32" s="13"/>
      <c r="BA32" s="13"/>
      <c r="BB32" s="13">
        <f t="shared" si="26"/>
        <v>0</v>
      </c>
      <c r="BC32" s="13"/>
      <c r="BD32" s="13"/>
      <c r="BE32" s="13"/>
      <c r="BF32" s="13"/>
      <c r="BG32" s="13"/>
      <c r="BH32" s="13">
        <f t="shared" si="27"/>
        <v>0</v>
      </c>
      <c r="BI32" s="13"/>
      <c r="BJ32" s="13"/>
      <c r="BK32" s="13"/>
      <c r="BL32" s="13"/>
      <c r="BM32" s="13"/>
      <c r="BN32" s="13">
        <f t="shared" si="28"/>
        <v>0</v>
      </c>
      <c r="BO32" s="13"/>
      <c r="BP32" s="13"/>
      <c r="BQ32" s="13"/>
      <c r="BR32" s="13"/>
      <c r="BS32" s="13"/>
      <c r="BT32" s="13">
        <f t="shared" si="29"/>
        <v>0</v>
      </c>
      <c r="BU32" s="13"/>
      <c r="BV32" s="13"/>
      <c r="BW32" s="13"/>
      <c r="BX32" s="13"/>
      <c r="BY32" s="13"/>
      <c r="BZ32" s="13">
        <f t="shared" si="30"/>
        <v>0</v>
      </c>
      <c r="CA32" s="13"/>
      <c r="CB32" s="13"/>
      <c r="CC32" s="13"/>
      <c r="CD32" s="13">
        <f>SUM(BX32-BY32+BZ32-CA32+CB32)</f>
        <v>0</v>
      </c>
    </row>
    <row r="33" spans="1:84" s="35" customFormat="1" ht="15.75">
      <c r="A33" s="55" t="s">
        <v>85</v>
      </c>
      <c r="B33" s="33"/>
      <c r="C33" s="33"/>
      <c r="D33" s="33"/>
      <c r="E33" s="10">
        <f>SUM(E34:E42)</f>
        <v>0</v>
      </c>
      <c r="F33" s="10">
        <f>SUM(F34:F42)</f>
        <v>438085.92</v>
      </c>
      <c r="G33" s="10">
        <f aca="true" t="shared" si="31" ref="G33:L33">SUM(G34:G42)</f>
        <v>26108.61</v>
      </c>
      <c r="H33" s="10">
        <f t="shared" si="31"/>
        <v>7633.27</v>
      </c>
      <c r="I33" s="10">
        <f t="shared" si="31"/>
        <v>1707.67</v>
      </c>
      <c r="J33" s="10">
        <f t="shared" si="31"/>
        <v>0</v>
      </c>
      <c r="K33" s="10">
        <f t="shared" si="31"/>
        <v>0</v>
      </c>
      <c r="L33" s="10">
        <f t="shared" si="31"/>
        <v>417902.91</v>
      </c>
      <c r="M33" s="10">
        <f>SUM(M34:M42)</f>
        <v>2073.51</v>
      </c>
      <c r="N33" s="10">
        <f>SUM(N34:N42)</f>
        <v>5216.25</v>
      </c>
      <c r="O33" s="10">
        <f>SUM(O34:O42)</f>
        <v>0</v>
      </c>
      <c r="P33" s="10">
        <f>SUM(P34:P42)</f>
        <v>0</v>
      </c>
      <c r="Q33" s="10">
        <f>SUM(Q34:Q42)</f>
        <v>0</v>
      </c>
      <c r="R33" s="10">
        <f>SUM(R34:R42)</f>
        <v>421045.64999999997</v>
      </c>
      <c r="S33" s="10">
        <f>SUM(S34:S42)</f>
        <v>18970.64</v>
      </c>
      <c r="T33" s="10">
        <f>SUM(T34:T42)</f>
        <v>197576.63</v>
      </c>
      <c r="U33" s="10">
        <f>SUM(U34:U42)</f>
        <v>0</v>
      </c>
      <c r="V33" s="10">
        <f>SUM(V34:V42)</f>
        <v>0</v>
      </c>
      <c r="W33" s="10">
        <f>SUM(W34:W42)</f>
        <v>0</v>
      </c>
      <c r="X33" s="10">
        <f>SUM(X34:X42)</f>
        <v>599651.64</v>
      </c>
      <c r="Y33" s="10">
        <f>SUM(Y34:Y42)</f>
        <v>158902.63</v>
      </c>
      <c r="Z33" s="10">
        <f>SUM(Z34:Z42)</f>
        <v>21806.14</v>
      </c>
      <c r="AA33" s="10">
        <f>SUM(AA34:AA42)</f>
        <v>0</v>
      </c>
      <c r="AB33" s="10">
        <f>SUM(AB34:AB42)</f>
        <v>0</v>
      </c>
      <c r="AC33" s="10">
        <f>SUM(AC34:AC42)</f>
        <v>0</v>
      </c>
      <c r="AD33" s="10">
        <f aca="true" t="shared" si="32" ref="AD33:AJ33">SUM(AD34:AD42)</f>
        <v>462555.14999999997</v>
      </c>
      <c r="AE33" s="10">
        <f t="shared" si="32"/>
        <v>193603.74</v>
      </c>
      <c r="AF33" s="10">
        <f t="shared" si="32"/>
        <v>293417.62</v>
      </c>
      <c r="AG33" s="10">
        <f t="shared" si="32"/>
        <v>0</v>
      </c>
      <c r="AH33" s="10">
        <f t="shared" si="32"/>
        <v>0</v>
      </c>
      <c r="AI33" s="10">
        <f t="shared" si="32"/>
        <v>0</v>
      </c>
      <c r="AJ33" s="10">
        <f t="shared" si="32"/>
        <v>562369.03</v>
      </c>
      <c r="AK33" s="10">
        <f aca="true" t="shared" si="33" ref="AK33:AP33">SUM(AK34:AK42)</f>
        <v>13136.22</v>
      </c>
      <c r="AL33" s="10">
        <f t="shared" si="33"/>
        <v>148293.72</v>
      </c>
      <c r="AM33" s="10">
        <f t="shared" si="33"/>
        <v>0</v>
      </c>
      <c r="AN33" s="10">
        <f t="shared" si="33"/>
        <v>0</v>
      </c>
      <c r="AO33" s="10">
        <f t="shared" si="33"/>
        <v>0</v>
      </c>
      <c r="AP33" s="10">
        <f t="shared" si="33"/>
        <v>697526.5299999999</v>
      </c>
      <c r="AQ33" s="10">
        <f>SUM(AQ34:AQ42)</f>
        <v>0</v>
      </c>
      <c r="AR33" s="10">
        <f>SUM(AR34:AR42)</f>
        <v>0</v>
      </c>
      <c r="AS33" s="10">
        <f>SUM(AS34:AS42)</f>
        <v>0</v>
      </c>
      <c r="AT33" s="10">
        <f>SUM(AT34:AT42)</f>
        <v>0</v>
      </c>
      <c r="AU33" s="10">
        <f>SUM(AU34:AU42)</f>
        <v>0</v>
      </c>
      <c r="AV33" s="10">
        <f>SUM(AV34:AV42)</f>
        <v>697526.5299999999</v>
      </c>
      <c r="AW33" s="10">
        <f>SUM(AW34:AW42)</f>
        <v>10984.21</v>
      </c>
      <c r="AX33" s="10">
        <f>SUM(AX34:AX42)</f>
        <v>51529.76</v>
      </c>
      <c r="AY33" s="10">
        <f>SUM(AY34:AY42)</f>
        <v>0</v>
      </c>
      <c r="AZ33" s="10">
        <f>SUM(AZ34:AZ42)</f>
        <v>0</v>
      </c>
      <c r="BA33" s="10">
        <f>SUM(BA34:BA42)</f>
        <v>0</v>
      </c>
      <c r="BB33" s="10">
        <f>SUM(BB34:BB42)</f>
        <v>738072.08</v>
      </c>
      <c r="BC33" s="10">
        <f>SUM(BC34:BC42)</f>
        <v>79048.28</v>
      </c>
      <c r="BD33" s="10">
        <f>SUM(BD34:BD42)</f>
        <v>30751.54</v>
      </c>
      <c r="BE33" s="10">
        <f>SUM(BE34:BE42)</f>
        <v>0</v>
      </c>
      <c r="BF33" s="10">
        <f>SUM(BF34:BF42)</f>
        <v>0</v>
      </c>
      <c r="BG33" s="10">
        <f>SUM(BG34:BG42)</f>
        <v>0</v>
      </c>
      <c r="BH33" s="10">
        <f>SUM(BH34:BH42)</f>
        <v>689775.34</v>
      </c>
      <c r="BI33" s="10">
        <f>SUM(BI34:BI42)</f>
        <v>146922.96</v>
      </c>
      <c r="BJ33" s="10">
        <f>SUM(BJ34:BJ42)</f>
        <v>32524.800000000003</v>
      </c>
      <c r="BK33" s="10">
        <f>SUM(BK34:BK42)</f>
        <v>114850</v>
      </c>
      <c r="BL33" s="10">
        <f>SUM(BL34:BL42)</f>
        <v>0</v>
      </c>
      <c r="BM33" s="10">
        <f>SUM(BM34:BM42)</f>
        <v>0</v>
      </c>
      <c r="BN33" s="10">
        <f>SUM(BN34:BN42)</f>
        <v>450031.18</v>
      </c>
      <c r="BO33" s="10">
        <f>SUM(BO34:BO42)</f>
        <v>28428.75</v>
      </c>
      <c r="BP33" s="10">
        <f>SUM(BP34:BP42)</f>
        <v>9492.27</v>
      </c>
      <c r="BQ33" s="10">
        <f>SUM(BQ34:BQ42)</f>
        <v>0</v>
      </c>
      <c r="BR33" s="10">
        <f aca="true" t="shared" si="34" ref="BR33:CA33">SUM(BR34:BR42)</f>
        <v>0</v>
      </c>
      <c r="BS33" s="10">
        <f t="shared" si="34"/>
        <v>0</v>
      </c>
      <c r="BT33" s="10">
        <f t="shared" si="34"/>
        <v>431094.7</v>
      </c>
      <c r="BU33" s="10">
        <f>SUM(BU34:BU42)</f>
        <v>3434.3</v>
      </c>
      <c r="BV33" s="10">
        <f>SUM(BV34:BV42)</f>
        <v>27550.22</v>
      </c>
      <c r="BW33" s="10">
        <f t="shared" si="34"/>
        <v>0</v>
      </c>
      <c r="BX33" s="10">
        <f>SUM(BX34:BX42)</f>
        <v>450.04</v>
      </c>
      <c r="BY33" s="10">
        <f t="shared" si="34"/>
        <v>0</v>
      </c>
      <c r="BZ33" s="10">
        <f>SUM(BZ34:BZ42)</f>
        <v>455660.66</v>
      </c>
      <c r="CA33" s="10">
        <f t="shared" si="34"/>
        <v>0</v>
      </c>
      <c r="CB33" s="10">
        <f>SUM(CB34:CB42)</f>
        <v>0</v>
      </c>
      <c r="CC33" s="10">
        <f>SUM(CC34:CC42)</f>
        <v>0</v>
      </c>
      <c r="CD33" s="10">
        <f>SUM(CD34:CD42)</f>
        <v>455660.66</v>
      </c>
      <c r="CE33" s="148"/>
      <c r="CF33" s="148"/>
    </row>
    <row r="34" spans="1:82" ht="15.75">
      <c r="A34" s="40"/>
      <c r="B34" s="50" t="s">
        <v>26</v>
      </c>
      <c r="C34" s="50"/>
      <c r="D34" s="50"/>
      <c r="E34" s="42"/>
      <c r="F34" s="42">
        <v>17618.61</v>
      </c>
      <c r="G34" s="42">
        <v>17618.61</v>
      </c>
      <c r="H34" s="42">
        <v>1623.51</v>
      </c>
      <c r="I34" s="42"/>
      <c r="J34" s="42"/>
      <c r="K34" s="42"/>
      <c r="L34" s="42">
        <f aca="true" t="shared" si="35" ref="L34:L41">SUM(F34-G34+H34-I34+J34)</f>
        <v>1623.51</v>
      </c>
      <c r="M34" s="42">
        <v>1623.51</v>
      </c>
      <c r="N34" s="42">
        <v>2067.64</v>
      </c>
      <c r="O34" s="42"/>
      <c r="P34" s="42"/>
      <c r="Q34" s="42"/>
      <c r="R34" s="42">
        <f aca="true" t="shared" si="36" ref="R34:R44">SUM(L34-M34+N34-O34+P34)</f>
        <v>2067.64</v>
      </c>
      <c r="S34" s="42">
        <v>2067.64</v>
      </c>
      <c r="T34" s="42">
        <v>1982.63</v>
      </c>
      <c r="U34" s="42"/>
      <c r="V34" s="42"/>
      <c r="W34" s="42"/>
      <c r="X34" s="42">
        <f aca="true" t="shared" si="37" ref="X34:X44">SUM(R34-S34+T34-U34+V34)</f>
        <v>1982.63</v>
      </c>
      <c r="Y34" s="42">
        <v>1982.63</v>
      </c>
      <c r="Z34" s="42">
        <v>2959.24</v>
      </c>
      <c r="AA34" s="42"/>
      <c r="AB34" s="42"/>
      <c r="AC34" s="42"/>
      <c r="AD34" s="42">
        <f aca="true" t="shared" si="38" ref="AD34:AD44">SUM(X34-Y34+Z34-AA34+AB34)</f>
        <v>2959.24</v>
      </c>
      <c r="AE34" s="42">
        <v>2959.24</v>
      </c>
      <c r="AF34" s="42">
        <v>3887.22</v>
      </c>
      <c r="AG34" s="42"/>
      <c r="AH34" s="42"/>
      <c r="AI34" s="42"/>
      <c r="AJ34" s="42">
        <f aca="true" t="shared" si="39" ref="AJ34:AJ44">SUM(AD34-AE34+AF34-AG34+AH34)</f>
        <v>3887.22</v>
      </c>
      <c r="AK34" s="42">
        <v>3887.22</v>
      </c>
      <c r="AL34" s="42">
        <v>34804.24</v>
      </c>
      <c r="AM34" s="42"/>
      <c r="AN34" s="42"/>
      <c r="AO34" s="42"/>
      <c r="AP34" s="42">
        <f aca="true" t="shared" si="40" ref="AP34:AP44">SUM(AJ34-AK34+AL34-AM34+AN34)</f>
        <v>34804.24</v>
      </c>
      <c r="AQ34" s="42"/>
      <c r="AR34" s="42"/>
      <c r="AS34" s="42"/>
      <c r="AT34" s="42"/>
      <c r="AU34" s="42"/>
      <c r="AV34" s="42">
        <f aca="true" t="shared" si="41" ref="AV34:AV44">SUM(AP34-AQ34+AR34-AS34+AT34)</f>
        <v>34804.24</v>
      </c>
      <c r="AW34" s="42">
        <v>10984.21</v>
      </c>
      <c r="AX34" s="42">
        <v>13736.28</v>
      </c>
      <c r="AY34" s="42"/>
      <c r="AZ34" s="42"/>
      <c r="BA34" s="42"/>
      <c r="BB34" s="42">
        <f aca="true" t="shared" si="42" ref="BB34:BB44">SUM(AV34-AW34+AX34-AY34+AZ34)</f>
        <v>37556.31</v>
      </c>
      <c r="BC34" s="42">
        <v>13736.28</v>
      </c>
      <c r="BD34" s="42">
        <v>18082.96</v>
      </c>
      <c r="BE34" s="42"/>
      <c r="BF34" s="42"/>
      <c r="BG34" s="42"/>
      <c r="BH34" s="42">
        <f aca="true" t="shared" si="43" ref="BH34:BH42">SUM(BB34-BC34+BD34-BE34+BF34)</f>
        <v>41902.99</v>
      </c>
      <c r="BI34" s="42">
        <v>18082.96</v>
      </c>
      <c r="BJ34" s="42">
        <v>28428.75</v>
      </c>
      <c r="BK34" s="42"/>
      <c r="BL34" s="42"/>
      <c r="BM34" s="42"/>
      <c r="BN34" s="42">
        <f aca="true" t="shared" si="44" ref="BN34:BN40">SUM(BH34-BI34+BJ34-BK34+BL34)</f>
        <v>52248.78</v>
      </c>
      <c r="BO34" s="42">
        <v>28428.75</v>
      </c>
      <c r="BP34" s="42">
        <v>3434.3</v>
      </c>
      <c r="BQ34" s="42"/>
      <c r="BR34" s="42"/>
      <c r="BS34" s="42"/>
      <c r="BT34" s="42">
        <f aca="true" t="shared" si="45" ref="BT34:BT44">SUM(BN34-BO34+BP34-BQ34+BR34)</f>
        <v>27254.329999999998</v>
      </c>
      <c r="BU34" s="42">
        <v>3434.3</v>
      </c>
      <c r="BV34" s="42">
        <f>17473.75+144.86</f>
        <v>17618.61</v>
      </c>
      <c r="BW34" s="42"/>
      <c r="BX34" s="42"/>
      <c r="BY34" s="42"/>
      <c r="BZ34" s="42">
        <f aca="true" t="shared" si="46" ref="BZ34:BZ41">SUM(BT34-BU34+BV34-BW34+BX34)</f>
        <v>41438.64</v>
      </c>
      <c r="CA34" s="42"/>
      <c r="CB34" s="42"/>
      <c r="CC34" s="42"/>
      <c r="CD34" s="15">
        <f aca="true" t="shared" si="47" ref="CD34:CD41">+BZ34+CA34-CB34</f>
        <v>41438.64</v>
      </c>
    </row>
    <row r="35" spans="1:82" ht="15.75">
      <c r="A35" s="51"/>
      <c r="B35" s="52" t="s">
        <v>86</v>
      </c>
      <c r="C35" s="52"/>
      <c r="D35" s="52"/>
      <c r="E35" s="45"/>
      <c r="F35" s="45">
        <v>4400.02</v>
      </c>
      <c r="G35" s="45"/>
      <c r="H35" s="45">
        <v>7.76</v>
      </c>
      <c r="I35" s="45"/>
      <c r="J35" s="45"/>
      <c r="K35" s="45"/>
      <c r="L35" s="45">
        <f t="shared" si="35"/>
        <v>4407.780000000001</v>
      </c>
      <c r="M35" s="45"/>
      <c r="N35" s="45"/>
      <c r="O35" s="45"/>
      <c r="P35" s="45"/>
      <c r="Q35" s="45"/>
      <c r="R35" s="45">
        <f t="shared" si="36"/>
        <v>4407.780000000001</v>
      </c>
      <c r="S35" s="45"/>
      <c r="T35" s="45"/>
      <c r="U35" s="45"/>
      <c r="V35" s="45"/>
      <c r="W35" s="45"/>
      <c r="X35" s="45">
        <f t="shared" si="37"/>
        <v>4407.780000000001</v>
      </c>
      <c r="Y35" s="45"/>
      <c r="Z35" s="45">
        <v>69.68</v>
      </c>
      <c r="AA35" s="45"/>
      <c r="AB35" s="45"/>
      <c r="AC35" s="45"/>
      <c r="AD35" s="45">
        <f t="shared" si="38"/>
        <v>4477.460000000001</v>
      </c>
      <c r="AE35" s="527"/>
      <c r="AF35" s="45">
        <v>60.9</v>
      </c>
      <c r="AG35" s="45"/>
      <c r="AH35" s="45"/>
      <c r="AI35" s="45"/>
      <c r="AJ35" s="45">
        <f t="shared" si="39"/>
        <v>4538.360000000001</v>
      </c>
      <c r="AK35" s="45"/>
      <c r="AL35" s="45">
        <v>193.48</v>
      </c>
      <c r="AM35" s="45"/>
      <c r="AN35" s="45"/>
      <c r="AO35" s="45"/>
      <c r="AP35" s="45">
        <f t="shared" si="40"/>
        <v>4731.84</v>
      </c>
      <c r="AQ35" s="45"/>
      <c r="AR35" s="45"/>
      <c r="AS35" s="45"/>
      <c r="AT35" s="45"/>
      <c r="AU35" s="45"/>
      <c r="AV35" s="45">
        <f t="shared" si="41"/>
        <v>4731.84</v>
      </c>
      <c r="AW35" s="45"/>
      <c r="AX35" s="45">
        <v>174.48</v>
      </c>
      <c r="AY35" s="45"/>
      <c r="AZ35" s="45"/>
      <c r="BA35" s="45"/>
      <c r="BB35" s="45">
        <f t="shared" si="42"/>
        <v>4906.32</v>
      </c>
      <c r="BC35" s="45"/>
      <c r="BD35" s="45">
        <v>145.58</v>
      </c>
      <c r="BE35" s="45"/>
      <c r="BF35" s="45"/>
      <c r="BG35" s="45"/>
      <c r="BH35" s="45">
        <f t="shared" si="43"/>
        <v>5051.9</v>
      </c>
      <c r="BI35" s="45"/>
      <c r="BJ35" s="45">
        <v>138.38</v>
      </c>
      <c r="BK35" s="45"/>
      <c r="BL35" s="45"/>
      <c r="BM35" s="45"/>
      <c r="BN35" s="45">
        <f t="shared" si="44"/>
        <v>5190.28</v>
      </c>
      <c r="BO35" s="45"/>
      <c r="BP35" s="45">
        <v>17.97</v>
      </c>
      <c r="BQ35" s="45"/>
      <c r="BR35" s="45"/>
      <c r="BS35" s="45"/>
      <c r="BT35" s="45">
        <f t="shared" si="45"/>
        <v>5208.25</v>
      </c>
      <c r="BU35" s="45"/>
      <c r="BV35" s="45">
        <v>136.37</v>
      </c>
      <c r="BW35" s="45"/>
      <c r="BX35" s="45">
        <v>0.04</v>
      </c>
      <c r="BY35" s="45"/>
      <c r="BZ35" s="45">
        <f t="shared" si="46"/>
        <v>5344.66</v>
      </c>
      <c r="CA35" s="45"/>
      <c r="CB35" s="45"/>
      <c r="CC35" s="45"/>
      <c r="CD35" s="45">
        <f t="shared" si="47"/>
        <v>5344.66</v>
      </c>
    </row>
    <row r="36" spans="1:82" ht="15.75">
      <c r="A36" s="51"/>
      <c r="B36" s="52" t="s">
        <v>364</v>
      </c>
      <c r="C36" s="52"/>
      <c r="D36" s="52"/>
      <c r="E36" s="45"/>
      <c r="F36" s="45">
        <v>388263</v>
      </c>
      <c r="G36" s="45">
        <v>8490</v>
      </c>
      <c r="H36" s="45">
        <v>6002</v>
      </c>
      <c r="I36" s="45"/>
      <c r="J36" s="45"/>
      <c r="K36" s="45"/>
      <c r="L36" s="45">
        <f t="shared" si="35"/>
        <v>385775</v>
      </c>
      <c r="M36" s="45"/>
      <c r="N36" s="45"/>
      <c r="O36" s="45"/>
      <c r="P36" s="45"/>
      <c r="Q36" s="45"/>
      <c r="R36" s="45">
        <f t="shared" si="36"/>
        <v>385775</v>
      </c>
      <c r="S36" s="45">
        <v>16903</v>
      </c>
      <c r="T36" s="45">
        <v>195594</v>
      </c>
      <c r="U36" s="45"/>
      <c r="V36" s="45"/>
      <c r="W36" s="45"/>
      <c r="X36" s="45">
        <f t="shared" si="37"/>
        <v>564466</v>
      </c>
      <c r="Y36" s="45">
        <v>156920</v>
      </c>
      <c r="Z36" s="45">
        <v>2685</v>
      </c>
      <c r="AA36" s="45"/>
      <c r="AB36" s="45"/>
      <c r="AC36" s="45"/>
      <c r="AD36" s="45">
        <f t="shared" si="38"/>
        <v>410231</v>
      </c>
      <c r="AE36" s="45">
        <v>148147</v>
      </c>
      <c r="AF36" s="45">
        <v>247768</v>
      </c>
      <c r="AG36" s="45"/>
      <c r="AH36" s="45"/>
      <c r="AI36" s="45"/>
      <c r="AJ36" s="45">
        <f t="shared" si="39"/>
        <v>509852</v>
      </c>
      <c r="AK36" s="45"/>
      <c r="AL36" s="45">
        <v>102800</v>
      </c>
      <c r="AM36" s="45"/>
      <c r="AN36" s="45"/>
      <c r="AO36" s="45"/>
      <c r="AP36" s="45">
        <f t="shared" si="40"/>
        <v>612652</v>
      </c>
      <c r="AQ36" s="45"/>
      <c r="AR36" s="45"/>
      <c r="AS36" s="45"/>
      <c r="AT36" s="45"/>
      <c r="AU36" s="45"/>
      <c r="AV36" s="45">
        <f t="shared" si="41"/>
        <v>612652</v>
      </c>
      <c r="AW36" s="45"/>
      <c r="AX36" s="45">
        <v>37619</v>
      </c>
      <c r="AY36" s="45"/>
      <c r="AZ36" s="45"/>
      <c r="BA36" s="45"/>
      <c r="BB36" s="45">
        <f t="shared" si="42"/>
        <v>650271</v>
      </c>
      <c r="BC36" s="45">
        <v>65312</v>
      </c>
      <c r="BD36" s="45">
        <v>12523</v>
      </c>
      <c r="BE36" s="45"/>
      <c r="BF36" s="45"/>
      <c r="BG36" s="45"/>
      <c r="BH36" s="45">
        <f t="shared" si="43"/>
        <v>597482</v>
      </c>
      <c r="BI36" s="45">
        <v>78840</v>
      </c>
      <c r="BJ36" s="45">
        <v>2250</v>
      </c>
      <c r="BK36" s="45">
        <v>114850</v>
      </c>
      <c r="BL36" s="45"/>
      <c r="BM36" s="45"/>
      <c r="BN36" s="45">
        <f t="shared" si="44"/>
        <v>406042</v>
      </c>
      <c r="BO36" s="45"/>
      <c r="BP36" s="45">
        <v>6040</v>
      </c>
      <c r="BQ36" s="45"/>
      <c r="BR36" s="45"/>
      <c r="BS36" s="45"/>
      <c r="BT36" s="45">
        <f t="shared" si="45"/>
        <v>412082</v>
      </c>
      <c r="BU36" s="45"/>
      <c r="BV36" s="45">
        <v>4868</v>
      </c>
      <c r="BW36" s="45"/>
      <c r="BX36" s="45"/>
      <c r="BY36" s="45"/>
      <c r="BZ36" s="45">
        <f t="shared" si="46"/>
        <v>416950</v>
      </c>
      <c r="CA36" s="45"/>
      <c r="CB36" s="45"/>
      <c r="CC36" s="45"/>
      <c r="CD36" s="45">
        <f t="shared" si="47"/>
        <v>416950</v>
      </c>
    </row>
    <row r="37" spans="1:82" ht="15.75">
      <c r="A37" s="51"/>
      <c r="B37" s="52" t="s">
        <v>87</v>
      </c>
      <c r="C37" s="52"/>
      <c r="D37" s="52"/>
      <c r="E37" s="45"/>
      <c r="F37" s="45">
        <v>1850</v>
      </c>
      <c r="G37" s="45"/>
      <c r="H37" s="45"/>
      <c r="I37" s="45"/>
      <c r="J37" s="45"/>
      <c r="K37" s="45"/>
      <c r="L37" s="45">
        <f t="shared" si="35"/>
        <v>1850</v>
      </c>
      <c r="M37" s="45"/>
      <c r="N37" s="45"/>
      <c r="O37" s="45"/>
      <c r="P37" s="45"/>
      <c r="Q37" s="45"/>
      <c r="R37" s="45">
        <f t="shared" si="36"/>
        <v>1850</v>
      </c>
      <c r="S37" s="45"/>
      <c r="T37" s="45"/>
      <c r="U37" s="45"/>
      <c r="V37" s="45"/>
      <c r="W37" s="45"/>
      <c r="X37" s="45">
        <f t="shared" si="37"/>
        <v>1850</v>
      </c>
      <c r="Y37" s="45"/>
      <c r="Z37" s="45"/>
      <c r="AA37" s="45"/>
      <c r="AB37" s="45"/>
      <c r="AC37" s="45"/>
      <c r="AD37" s="45">
        <f t="shared" si="38"/>
        <v>1850</v>
      </c>
      <c r="AE37" s="527"/>
      <c r="AF37" s="527">
        <v>0</v>
      </c>
      <c r="AG37" s="45"/>
      <c r="AH37" s="45"/>
      <c r="AI37" s="45"/>
      <c r="AJ37" s="45">
        <f t="shared" si="39"/>
        <v>1850</v>
      </c>
      <c r="AK37" s="45"/>
      <c r="AL37" s="45">
        <v>0</v>
      </c>
      <c r="AM37" s="45"/>
      <c r="AN37" s="45"/>
      <c r="AO37" s="45"/>
      <c r="AP37" s="45">
        <f t="shared" si="40"/>
        <v>1850</v>
      </c>
      <c r="AQ37" s="45"/>
      <c r="AR37" s="45"/>
      <c r="AS37" s="45"/>
      <c r="AT37" s="45"/>
      <c r="AU37" s="45"/>
      <c r="AV37" s="45">
        <f t="shared" si="41"/>
        <v>1850</v>
      </c>
      <c r="AW37" s="45"/>
      <c r="AX37" s="45"/>
      <c r="AY37" s="45"/>
      <c r="AZ37" s="45"/>
      <c r="BA37" s="45"/>
      <c r="BB37" s="45">
        <f t="shared" si="42"/>
        <v>1850</v>
      </c>
      <c r="BC37" s="45"/>
      <c r="BD37" s="45"/>
      <c r="BE37" s="45"/>
      <c r="BF37" s="45"/>
      <c r="BG37" s="45"/>
      <c r="BH37" s="45">
        <f t="shared" si="43"/>
        <v>1850</v>
      </c>
      <c r="BI37" s="45"/>
      <c r="BJ37" s="45">
        <v>0</v>
      </c>
      <c r="BK37" s="45"/>
      <c r="BL37" s="45"/>
      <c r="BM37" s="45"/>
      <c r="BN37" s="45">
        <f t="shared" si="44"/>
        <v>1850</v>
      </c>
      <c r="BO37" s="45"/>
      <c r="BP37" s="45"/>
      <c r="BQ37" s="45"/>
      <c r="BR37" s="45"/>
      <c r="BS37" s="45"/>
      <c r="BT37" s="45">
        <f t="shared" si="45"/>
        <v>1850</v>
      </c>
      <c r="BU37" s="45"/>
      <c r="BV37" s="45">
        <v>0</v>
      </c>
      <c r="BW37" s="45"/>
      <c r="BX37" s="45"/>
      <c r="BY37" s="45"/>
      <c r="BZ37" s="45">
        <f t="shared" si="46"/>
        <v>1850</v>
      </c>
      <c r="CA37" s="45"/>
      <c r="CB37" s="45"/>
      <c r="CC37" s="45"/>
      <c r="CD37" s="45">
        <f t="shared" si="47"/>
        <v>1850</v>
      </c>
    </row>
    <row r="38" spans="1:83" ht="15.75">
      <c r="A38" s="51"/>
      <c r="B38" s="52" t="s">
        <v>88</v>
      </c>
      <c r="C38" s="52"/>
      <c r="D38" s="52"/>
      <c r="E38" s="45"/>
      <c r="F38" s="45">
        <v>10974.82</v>
      </c>
      <c r="G38" s="45"/>
      <c r="H38" s="45"/>
      <c r="I38" s="45">
        <v>1707.67</v>
      </c>
      <c r="J38" s="45"/>
      <c r="K38" s="45"/>
      <c r="L38" s="45">
        <f t="shared" si="35"/>
        <v>9267.15</v>
      </c>
      <c r="M38" s="45"/>
      <c r="N38" s="45">
        <v>3148.61</v>
      </c>
      <c r="O38" s="45"/>
      <c r="P38" s="45"/>
      <c r="Q38" s="45"/>
      <c r="R38" s="45">
        <f t="shared" si="36"/>
        <v>12415.76</v>
      </c>
      <c r="S38" s="45"/>
      <c r="T38" s="45"/>
      <c r="U38" s="45"/>
      <c r="V38" s="45"/>
      <c r="W38" s="45"/>
      <c r="X38" s="45">
        <f t="shared" si="37"/>
        <v>12415.76</v>
      </c>
      <c r="Y38" s="45"/>
      <c r="Z38" s="45">
        <v>6297.22</v>
      </c>
      <c r="AA38" s="45"/>
      <c r="AB38" s="45"/>
      <c r="AC38" s="45"/>
      <c r="AD38" s="45">
        <f t="shared" si="38"/>
        <v>18712.98</v>
      </c>
      <c r="AE38" s="527"/>
      <c r="AF38" s="527"/>
      <c r="AG38" s="45"/>
      <c r="AH38" s="45"/>
      <c r="AI38" s="45"/>
      <c r="AJ38" s="45">
        <f t="shared" si="39"/>
        <v>18712.98</v>
      </c>
      <c r="AK38" s="45"/>
      <c r="AL38" s="45">
        <v>0</v>
      </c>
      <c r="AM38" s="45"/>
      <c r="AN38" s="45"/>
      <c r="AO38" s="45"/>
      <c r="AP38" s="45">
        <f t="shared" si="40"/>
        <v>18712.98</v>
      </c>
      <c r="AQ38" s="45"/>
      <c r="AR38" s="45"/>
      <c r="AS38" s="45"/>
      <c r="AT38" s="45"/>
      <c r="AU38" s="45"/>
      <c r="AV38" s="45">
        <f t="shared" si="41"/>
        <v>18712.98</v>
      </c>
      <c r="AW38" s="45"/>
      <c r="AX38" s="45"/>
      <c r="AY38" s="45"/>
      <c r="AZ38" s="45"/>
      <c r="BA38" s="45"/>
      <c r="BB38" s="45">
        <f t="shared" si="42"/>
        <v>18712.98</v>
      </c>
      <c r="BC38" s="45"/>
      <c r="BD38" s="45"/>
      <c r="BE38" s="45"/>
      <c r="BF38" s="45"/>
      <c r="BG38" s="45"/>
      <c r="BH38" s="45">
        <f t="shared" si="43"/>
        <v>18712.98</v>
      </c>
      <c r="BI38" s="45">
        <v>50000</v>
      </c>
      <c r="BJ38" s="45">
        <v>1707.67</v>
      </c>
      <c r="BK38" s="45">
        <v>0</v>
      </c>
      <c r="BL38" s="45">
        <v>0</v>
      </c>
      <c r="BM38" s="45"/>
      <c r="BN38" s="45">
        <f t="shared" si="44"/>
        <v>-29579.35</v>
      </c>
      <c r="BO38" s="45"/>
      <c r="BP38" s="45"/>
      <c r="BQ38" s="45"/>
      <c r="BR38" s="45"/>
      <c r="BS38" s="45"/>
      <c r="BT38" s="45">
        <f t="shared" si="45"/>
        <v>-29579.35</v>
      </c>
      <c r="BU38" s="45"/>
      <c r="BV38" s="45">
        <v>4927.24</v>
      </c>
      <c r="BW38" s="45"/>
      <c r="BX38" s="45"/>
      <c r="BY38" s="45"/>
      <c r="BZ38" s="45">
        <f t="shared" si="46"/>
        <v>-24652.11</v>
      </c>
      <c r="CA38" s="45"/>
      <c r="CB38" s="45"/>
      <c r="CC38" s="45"/>
      <c r="CD38" s="45">
        <f t="shared" si="47"/>
        <v>-24652.11</v>
      </c>
      <c r="CE38" s="7">
        <f>+BN38-BM15</f>
        <v>0</v>
      </c>
    </row>
    <row r="39" spans="1:82" ht="15.75">
      <c r="A39" s="51"/>
      <c r="B39" s="52" t="s">
        <v>89</v>
      </c>
      <c r="C39" s="52"/>
      <c r="D39" s="52"/>
      <c r="E39" s="45"/>
      <c r="F39" s="45">
        <v>14279.47</v>
      </c>
      <c r="G39" s="45"/>
      <c r="H39" s="45"/>
      <c r="I39" s="45"/>
      <c r="J39" s="45"/>
      <c r="K39" s="45"/>
      <c r="L39" s="45">
        <f t="shared" si="35"/>
        <v>14279.47</v>
      </c>
      <c r="M39" s="45"/>
      <c r="N39" s="45"/>
      <c r="O39" s="45"/>
      <c r="P39" s="45"/>
      <c r="Q39" s="45"/>
      <c r="R39" s="45">
        <f t="shared" si="36"/>
        <v>14279.47</v>
      </c>
      <c r="S39" s="45"/>
      <c r="T39" s="45"/>
      <c r="U39" s="45"/>
      <c r="V39" s="45"/>
      <c r="W39" s="45"/>
      <c r="X39" s="45">
        <f t="shared" si="37"/>
        <v>14279.47</v>
      </c>
      <c r="Y39" s="45"/>
      <c r="Z39" s="45"/>
      <c r="AA39" s="45"/>
      <c r="AB39" s="45"/>
      <c r="AC39" s="45"/>
      <c r="AD39" s="45">
        <f t="shared" si="38"/>
        <v>14279.47</v>
      </c>
      <c r="AE39" s="527"/>
      <c r="AF39" s="527"/>
      <c r="AG39" s="45"/>
      <c r="AH39" s="45"/>
      <c r="AI39" s="45"/>
      <c r="AJ39" s="45">
        <f t="shared" si="39"/>
        <v>14279.47</v>
      </c>
      <c r="AK39" s="45"/>
      <c r="AL39" s="45">
        <v>0</v>
      </c>
      <c r="AM39" s="45"/>
      <c r="AN39" s="45"/>
      <c r="AO39" s="45"/>
      <c r="AP39" s="45">
        <f t="shared" si="40"/>
        <v>14279.47</v>
      </c>
      <c r="AQ39" s="45"/>
      <c r="AR39" s="45"/>
      <c r="AS39" s="45"/>
      <c r="AT39" s="45"/>
      <c r="AU39" s="45"/>
      <c r="AV39" s="45">
        <f t="shared" si="41"/>
        <v>14279.47</v>
      </c>
      <c r="AW39" s="45"/>
      <c r="AX39" s="45"/>
      <c r="AY39" s="45"/>
      <c r="AZ39" s="45"/>
      <c r="BA39" s="45"/>
      <c r="BB39" s="45">
        <f t="shared" si="42"/>
        <v>14279.47</v>
      </c>
      <c r="BC39" s="45"/>
      <c r="BD39" s="45"/>
      <c r="BE39" s="45"/>
      <c r="BF39" s="45"/>
      <c r="BG39" s="45"/>
      <c r="BH39" s="45">
        <f t="shared" si="43"/>
        <v>14279.47</v>
      </c>
      <c r="BI39" s="45"/>
      <c r="BJ39" s="45">
        <v>0</v>
      </c>
      <c r="BK39" s="45"/>
      <c r="BL39" s="45"/>
      <c r="BM39" s="45"/>
      <c r="BN39" s="45">
        <f t="shared" si="44"/>
        <v>14279.47</v>
      </c>
      <c r="BO39" s="45"/>
      <c r="BP39" s="45"/>
      <c r="BQ39" s="45"/>
      <c r="BR39" s="45"/>
      <c r="BS39" s="45"/>
      <c r="BT39" s="45">
        <f t="shared" si="45"/>
        <v>14279.47</v>
      </c>
      <c r="BU39" s="45"/>
      <c r="BV39" s="45"/>
      <c r="BW39" s="45"/>
      <c r="BX39" s="45"/>
      <c r="BY39" s="45"/>
      <c r="BZ39" s="45">
        <f t="shared" si="46"/>
        <v>14279.47</v>
      </c>
      <c r="CA39" s="45"/>
      <c r="CB39" s="45"/>
      <c r="CC39" s="45"/>
      <c r="CD39" s="45">
        <f t="shared" si="47"/>
        <v>14279.47</v>
      </c>
    </row>
    <row r="40" spans="1:82" ht="15.75">
      <c r="A40" s="51"/>
      <c r="B40" s="52" t="s">
        <v>680</v>
      </c>
      <c r="C40" s="52"/>
      <c r="D40" s="52"/>
      <c r="E40" s="45"/>
      <c r="F40" s="45">
        <v>250</v>
      </c>
      <c r="G40" s="45"/>
      <c r="H40" s="45"/>
      <c r="I40" s="45"/>
      <c r="J40" s="45"/>
      <c r="K40" s="45"/>
      <c r="L40" s="45">
        <f t="shared" si="35"/>
        <v>250</v>
      </c>
      <c r="M40" s="45"/>
      <c r="N40" s="45"/>
      <c r="O40" s="45"/>
      <c r="P40" s="45"/>
      <c r="Q40" s="45"/>
      <c r="R40" s="45">
        <f t="shared" si="36"/>
        <v>250</v>
      </c>
      <c r="S40" s="45"/>
      <c r="T40" s="45"/>
      <c r="U40" s="45"/>
      <c r="V40" s="45"/>
      <c r="W40" s="45"/>
      <c r="X40" s="45">
        <f t="shared" si="37"/>
        <v>250</v>
      </c>
      <c r="Y40" s="45"/>
      <c r="Z40" s="45"/>
      <c r="AA40" s="45"/>
      <c r="AB40" s="45"/>
      <c r="AC40" s="45"/>
      <c r="AD40" s="45">
        <f t="shared" si="38"/>
        <v>250</v>
      </c>
      <c r="AE40" s="91">
        <v>22760.5</v>
      </c>
      <c r="AF40" s="45">
        <v>22510.5</v>
      </c>
      <c r="AG40" s="45"/>
      <c r="AH40" s="45"/>
      <c r="AI40" s="45"/>
      <c r="AJ40" s="45">
        <f t="shared" si="39"/>
        <v>0</v>
      </c>
      <c r="AK40" s="45"/>
      <c r="AL40" s="45">
        <v>0</v>
      </c>
      <c r="AM40" s="45"/>
      <c r="AN40" s="45"/>
      <c r="AO40" s="45"/>
      <c r="AP40" s="45">
        <f t="shared" si="40"/>
        <v>0</v>
      </c>
      <c r="AQ40" s="45"/>
      <c r="AR40" s="45"/>
      <c r="AS40" s="45"/>
      <c r="AT40" s="45"/>
      <c r="AU40" s="45"/>
      <c r="AV40" s="45">
        <f t="shared" si="41"/>
        <v>0</v>
      </c>
      <c r="AW40" s="45"/>
      <c r="AX40" s="45"/>
      <c r="AY40" s="45"/>
      <c r="AZ40" s="45"/>
      <c r="BA40" s="45"/>
      <c r="BB40" s="45">
        <f t="shared" si="42"/>
        <v>0</v>
      </c>
      <c r="BC40" s="45"/>
      <c r="BD40" s="45"/>
      <c r="BE40" s="45"/>
      <c r="BF40" s="45"/>
      <c r="BG40" s="45"/>
      <c r="BH40" s="45">
        <f t="shared" si="43"/>
        <v>0</v>
      </c>
      <c r="BI40" s="45"/>
      <c r="BJ40" s="45">
        <v>0</v>
      </c>
      <c r="BK40" s="45"/>
      <c r="BL40" s="45"/>
      <c r="BM40" s="45"/>
      <c r="BN40" s="45">
        <f t="shared" si="44"/>
        <v>0</v>
      </c>
      <c r="BO40" s="45"/>
      <c r="BP40" s="45"/>
      <c r="BQ40" s="45"/>
      <c r="BR40" s="45"/>
      <c r="BS40" s="45"/>
      <c r="BT40" s="45">
        <f t="shared" si="45"/>
        <v>0</v>
      </c>
      <c r="BU40" s="45"/>
      <c r="BV40" s="45"/>
      <c r="BW40" s="45"/>
      <c r="BX40" s="45"/>
      <c r="BY40" s="45"/>
      <c r="BZ40" s="45">
        <f t="shared" si="46"/>
        <v>0</v>
      </c>
      <c r="CA40" s="45"/>
      <c r="CB40" s="45"/>
      <c r="CC40" s="45"/>
      <c r="CD40" s="334">
        <f t="shared" si="47"/>
        <v>0</v>
      </c>
    </row>
    <row r="41" spans="1:82" ht="15.75">
      <c r="A41" s="51"/>
      <c r="B41" s="52" t="s">
        <v>516</v>
      </c>
      <c r="C41" s="52"/>
      <c r="D41" s="52"/>
      <c r="E41" s="45"/>
      <c r="F41" s="45">
        <v>450</v>
      </c>
      <c r="G41" s="45"/>
      <c r="H41" s="45"/>
      <c r="I41" s="45"/>
      <c r="J41" s="45"/>
      <c r="K41" s="45"/>
      <c r="L41" s="45">
        <f t="shared" si="35"/>
        <v>450</v>
      </c>
      <c r="M41" s="45">
        <v>450</v>
      </c>
      <c r="N41" s="45"/>
      <c r="O41" s="45"/>
      <c r="P41" s="45"/>
      <c r="Q41" s="45"/>
      <c r="R41" s="45">
        <f t="shared" si="36"/>
        <v>0</v>
      </c>
      <c r="S41" s="45"/>
      <c r="T41" s="45"/>
      <c r="U41" s="45"/>
      <c r="V41" s="45"/>
      <c r="W41" s="45"/>
      <c r="X41" s="45">
        <f t="shared" si="37"/>
        <v>0</v>
      </c>
      <c r="Y41" s="45"/>
      <c r="Z41" s="45">
        <v>9795</v>
      </c>
      <c r="AA41" s="45"/>
      <c r="AB41" s="45"/>
      <c r="AC41" s="45"/>
      <c r="AD41" s="45">
        <f t="shared" si="38"/>
        <v>9795</v>
      </c>
      <c r="AE41" s="45">
        <v>9795</v>
      </c>
      <c r="AF41" s="45">
        <v>9249</v>
      </c>
      <c r="AG41" s="45"/>
      <c r="AH41" s="45"/>
      <c r="AI41" s="45"/>
      <c r="AJ41" s="45">
        <f t="shared" si="39"/>
        <v>9249</v>
      </c>
      <c r="AK41" s="45">
        <v>9249</v>
      </c>
      <c r="AL41" s="45">
        <v>9606</v>
      </c>
      <c r="AM41" s="45"/>
      <c r="AN41" s="45"/>
      <c r="AO41" s="45"/>
      <c r="AP41" s="45">
        <f t="shared" si="40"/>
        <v>9606</v>
      </c>
      <c r="AQ41" s="45"/>
      <c r="AR41" s="45"/>
      <c r="AS41" s="45"/>
      <c r="AT41" s="45"/>
      <c r="AU41" s="45"/>
      <c r="AV41" s="45">
        <f t="shared" si="41"/>
        <v>9606</v>
      </c>
      <c r="AW41" s="45"/>
      <c r="AX41" s="45"/>
      <c r="AY41" s="45"/>
      <c r="AZ41" s="45"/>
      <c r="BA41" s="45"/>
      <c r="BB41" s="45">
        <f t="shared" si="42"/>
        <v>9606</v>
      </c>
      <c r="BC41" s="45"/>
      <c r="BD41" s="45"/>
      <c r="BE41" s="45"/>
      <c r="BF41" s="45"/>
      <c r="BG41" s="45"/>
      <c r="BH41" s="45">
        <f t="shared" si="43"/>
        <v>9606</v>
      </c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>
        <v>450</v>
      </c>
      <c r="BY41" s="45"/>
      <c r="BZ41" s="45">
        <f t="shared" si="46"/>
        <v>450</v>
      </c>
      <c r="CA41" s="45"/>
      <c r="CB41" s="45"/>
      <c r="CC41" s="45"/>
      <c r="CD41" s="334">
        <f t="shared" si="47"/>
        <v>450</v>
      </c>
    </row>
    <row r="42" spans="1:82" ht="15.75">
      <c r="A42" s="53"/>
      <c r="B42" s="54" t="s">
        <v>679</v>
      </c>
      <c r="C42" s="54"/>
      <c r="D42" s="54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528">
        <v>9942</v>
      </c>
      <c r="AF42" s="48">
        <v>9942</v>
      </c>
      <c r="AG42" s="48"/>
      <c r="AH42" s="48"/>
      <c r="AI42" s="48"/>
      <c r="AJ42" s="45">
        <f t="shared" si="39"/>
        <v>0</v>
      </c>
      <c r="AK42" s="48"/>
      <c r="AL42" s="48">
        <v>890</v>
      </c>
      <c r="AM42" s="48"/>
      <c r="AN42" s="48"/>
      <c r="AO42" s="48"/>
      <c r="AP42" s="48">
        <f t="shared" si="40"/>
        <v>890</v>
      </c>
      <c r="AQ42" s="48"/>
      <c r="AR42" s="48"/>
      <c r="AS42" s="48"/>
      <c r="AT42" s="48"/>
      <c r="AU42" s="48"/>
      <c r="AV42" s="48">
        <f t="shared" si="41"/>
        <v>890</v>
      </c>
      <c r="AW42" s="48"/>
      <c r="AX42" s="48"/>
      <c r="AY42" s="48"/>
      <c r="AZ42" s="48"/>
      <c r="BA42" s="48"/>
      <c r="BB42" s="48">
        <f t="shared" si="42"/>
        <v>890</v>
      </c>
      <c r="BC42" s="48"/>
      <c r="BD42" s="48"/>
      <c r="BE42" s="48"/>
      <c r="BF42" s="48"/>
      <c r="BG42" s="48"/>
      <c r="BH42" s="48">
        <f t="shared" si="43"/>
        <v>890</v>
      </c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</row>
    <row r="43" spans="1:84" s="31" customFormat="1" ht="15.75">
      <c r="A43" s="152" t="s">
        <v>93</v>
      </c>
      <c r="B43" s="153"/>
      <c r="C43" s="153"/>
      <c r="D43" s="153"/>
      <c r="E43" s="154"/>
      <c r="F43" s="487">
        <v>11320257.77</v>
      </c>
      <c r="G43" s="154"/>
      <c r="H43" s="154">
        <v>1400</v>
      </c>
      <c r="I43" s="154"/>
      <c r="J43" s="154"/>
      <c r="K43" s="154"/>
      <c r="L43" s="154">
        <f>SUM(F43-G43+H43-I43+J43)</f>
        <v>11321657.77</v>
      </c>
      <c r="M43" s="154">
        <v>7704</v>
      </c>
      <c r="N43" s="154"/>
      <c r="O43" s="154">
        <v>268.34</v>
      </c>
      <c r="P43" s="154"/>
      <c r="Q43" s="154"/>
      <c r="R43" s="154">
        <f>SUM(L43-M43+N43-O43+P43)</f>
        <v>11313685.43</v>
      </c>
      <c r="S43" s="154"/>
      <c r="T43" s="154"/>
      <c r="U43" s="154"/>
      <c r="V43" s="154"/>
      <c r="W43" s="154"/>
      <c r="X43" s="154">
        <f>SUM(R43-S43+T43-U43+V43)</f>
        <v>11313685.43</v>
      </c>
      <c r="Y43" s="154"/>
      <c r="Z43" s="154"/>
      <c r="AA43" s="154"/>
      <c r="AB43" s="154"/>
      <c r="AC43" s="154"/>
      <c r="AD43" s="154">
        <f>SUM(X43-Y43+Z43-AA43+AB43)</f>
        <v>11313685.43</v>
      </c>
      <c r="AE43" s="154">
        <v>115000</v>
      </c>
      <c r="AF43" s="190"/>
      <c r="AG43" s="154"/>
      <c r="AH43" s="154"/>
      <c r="AI43" s="154"/>
      <c r="AJ43" s="154">
        <f>SUM(AD43-AE43+AF43-AG43+AH43)</f>
        <v>11198685.43</v>
      </c>
      <c r="AK43" s="154">
        <v>345800</v>
      </c>
      <c r="AL43" s="154"/>
      <c r="AM43" s="154"/>
      <c r="AN43" s="154"/>
      <c r="AO43" s="154"/>
      <c r="AP43" s="154">
        <f>SUM(AJ43-AK43+AL43-AM43+AN43)</f>
        <v>10852885.43</v>
      </c>
      <c r="AQ43" s="154"/>
      <c r="AR43" s="154"/>
      <c r="AS43" s="154"/>
      <c r="AT43" s="154"/>
      <c r="AU43" s="154"/>
      <c r="AV43" s="154">
        <f>SUM(AP43-AQ43+AR43-AS43+AT43)</f>
        <v>10852885.43</v>
      </c>
      <c r="AW43" s="154">
        <v>1071001</v>
      </c>
      <c r="AX43" s="154"/>
      <c r="AY43" s="154"/>
      <c r="AZ43" s="154"/>
      <c r="BA43" s="154"/>
      <c r="BB43" s="154">
        <f>SUM(AV43-AW43+AX43-AY43+AZ43)</f>
        <v>9781884.43</v>
      </c>
      <c r="BC43" s="154">
        <v>1567045</v>
      </c>
      <c r="BD43" s="154"/>
      <c r="BE43" s="154"/>
      <c r="BF43" s="154"/>
      <c r="BG43" s="154"/>
      <c r="BH43" s="154">
        <f>SUM(BB43-BC43+BD43-BE43+BF43)</f>
        <v>8214839.43</v>
      </c>
      <c r="BI43" s="154">
        <v>2377000</v>
      </c>
      <c r="BJ43" s="154"/>
      <c r="BK43" s="154"/>
      <c r="BL43" s="154">
        <f>114850+365</f>
        <v>115215</v>
      </c>
      <c r="BM43" s="154"/>
      <c r="BN43" s="154">
        <f>SUM(BH43-BI43+BJ43-BK43+BL43)</f>
        <v>5953054.43</v>
      </c>
      <c r="BO43" s="154"/>
      <c r="BP43" s="154">
        <v>19500</v>
      </c>
      <c r="BQ43" s="154">
        <v>89724.75</v>
      </c>
      <c r="BR43" s="154"/>
      <c r="BS43" s="154"/>
      <c r="BT43" s="154">
        <f>SUM(BN43-BO43+BP43-BQ43+BR43)</f>
        <v>5882829.68</v>
      </c>
      <c r="BU43" s="154"/>
      <c r="BV43" s="154"/>
      <c r="BW43" s="154"/>
      <c r="BX43" s="154">
        <f>441066.39+1.28</f>
        <v>441067.67000000004</v>
      </c>
      <c r="BY43" s="154"/>
      <c r="BZ43" s="154">
        <f>SUM(BT43-BU43+BV43-BW43+BX43)</f>
        <v>6323897.35</v>
      </c>
      <c r="CA43" s="154">
        <v>1777355.52</v>
      </c>
      <c r="CB43" s="154">
        <f>19139.22+7109422.09</f>
        <v>7128561.31</v>
      </c>
      <c r="CC43" s="154"/>
      <c r="CD43" s="154">
        <f>+BZ43+CB43-CA43-CC43</f>
        <v>11675103.14</v>
      </c>
      <c r="CE43" s="164">
        <f>+'[1]เงินสะสม (5)'!$D$21</f>
        <v>11351917.227500003</v>
      </c>
      <c r="CF43" s="164"/>
    </row>
    <row r="44" spans="1:82" ht="15.75">
      <c r="A44" s="14" t="s">
        <v>359</v>
      </c>
      <c r="B44" s="32"/>
      <c r="C44" s="32"/>
      <c r="D44" s="32"/>
      <c r="E44" s="13"/>
      <c r="F44" s="487">
        <v>12197650.87</v>
      </c>
      <c r="G44" s="13"/>
      <c r="H44" s="13"/>
      <c r="I44" s="13"/>
      <c r="J44" s="13"/>
      <c r="K44" s="13"/>
      <c r="L44" s="13">
        <f>SUM(F44-G44+H44-I44+J44)</f>
        <v>12197650.87</v>
      </c>
      <c r="M44" s="13"/>
      <c r="N44" s="13"/>
      <c r="O44" s="13">
        <v>89.44</v>
      </c>
      <c r="P44" s="13"/>
      <c r="Q44" s="13"/>
      <c r="R44" s="13">
        <f t="shared" si="36"/>
        <v>12197561.43</v>
      </c>
      <c r="S44" s="13"/>
      <c r="T44" s="13"/>
      <c r="U44" s="13"/>
      <c r="V44" s="13"/>
      <c r="W44" s="13"/>
      <c r="X44" s="13">
        <f t="shared" si="37"/>
        <v>12197561.43</v>
      </c>
      <c r="Y44" s="13"/>
      <c r="Z44" s="13"/>
      <c r="AA44" s="13"/>
      <c r="AB44" s="13"/>
      <c r="AC44" s="13"/>
      <c r="AD44" s="13">
        <f t="shared" si="38"/>
        <v>12197561.43</v>
      </c>
      <c r="AE44" s="524"/>
      <c r="AF44" s="524"/>
      <c r="AG44" s="13"/>
      <c r="AH44" s="13"/>
      <c r="AI44" s="13"/>
      <c r="AJ44" s="13">
        <f t="shared" si="39"/>
        <v>12197561.43</v>
      </c>
      <c r="AK44" s="13"/>
      <c r="AL44" s="13"/>
      <c r="AM44" s="13"/>
      <c r="AN44" s="13"/>
      <c r="AO44" s="13"/>
      <c r="AP44" s="13">
        <f t="shared" si="40"/>
        <v>12197561.43</v>
      </c>
      <c r="AQ44" s="13"/>
      <c r="AR44" s="13"/>
      <c r="AS44" s="13"/>
      <c r="AT44" s="13"/>
      <c r="AU44" s="13"/>
      <c r="AV44" s="13">
        <f t="shared" si="41"/>
        <v>12197561.43</v>
      </c>
      <c r="AW44" s="13"/>
      <c r="AX44" s="13"/>
      <c r="AY44" s="13"/>
      <c r="AZ44" s="13"/>
      <c r="BA44" s="13"/>
      <c r="BB44" s="13">
        <f t="shared" si="42"/>
        <v>12197561.43</v>
      </c>
      <c r="BC44" s="13"/>
      <c r="BD44" s="13"/>
      <c r="BE44" s="13"/>
      <c r="BF44" s="13"/>
      <c r="BG44" s="13"/>
      <c r="BH44" s="13">
        <f>SUM(BB44-BC44+BD44-BE44+BF44)</f>
        <v>12197561.43</v>
      </c>
      <c r="BI44" s="13"/>
      <c r="BJ44" s="13"/>
      <c r="BK44" s="13">
        <v>0</v>
      </c>
      <c r="BL44" s="13"/>
      <c r="BM44" s="13"/>
      <c r="BN44" s="13">
        <f>SUM(BH44-BI44+BJ44-BK44+BL44)</f>
        <v>12197561.43</v>
      </c>
      <c r="BO44" s="13"/>
      <c r="BP44" s="13"/>
      <c r="BQ44" s="13">
        <v>29908.25</v>
      </c>
      <c r="BR44" s="13"/>
      <c r="BS44" s="13"/>
      <c r="BT44" s="13">
        <f t="shared" si="45"/>
        <v>12167653.18</v>
      </c>
      <c r="BU44" s="13"/>
      <c r="BV44" s="13"/>
      <c r="BW44" s="13"/>
      <c r="BX44" s="13"/>
      <c r="BY44" s="13"/>
      <c r="BZ44" s="13">
        <f>SUM(BT44-BU44+BV44-BW44+BX44)</f>
        <v>12167653.18</v>
      </c>
      <c r="CA44" s="13"/>
      <c r="CB44" s="13">
        <v>1777355.52</v>
      </c>
      <c r="CC44" s="13"/>
      <c r="CD44" s="13">
        <f>+BZ44+CB44-CA44-CC44</f>
        <v>13945008.7</v>
      </c>
    </row>
    <row r="45" spans="1:82" ht="15.75">
      <c r="A45" s="14"/>
      <c r="B45" s="32"/>
      <c r="C45" s="32"/>
      <c r="D45" s="3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524"/>
      <c r="AF45" s="524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</row>
    <row r="46" spans="1:82" ht="15.75">
      <c r="A46" s="14"/>
      <c r="B46" s="32"/>
      <c r="C46" s="32"/>
      <c r="D46" s="3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524"/>
      <c r="AF46" s="524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</row>
    <row r="47" spans="1:84" s="261" customFormat="1" ht="15.75">
      <c r="A47" s="727" t="s">
        <v>94</v>
      </c>
      <c r="B47" s="728"/>
      <c r="C47" s="728"/>
      <c r="D47" s="728"/>
      <c r="E47" s="227">
        <f>SUM(E27:E32,E33,E43:E46)</f>
        <v>0</v>
      </c>
      <c r="F47" s="227">
        <f>SUM(F27:F32,F33,F43:F46)</f>
        <v>29056374.559999995</v>
      </c>
      <c r="G47" s="227">
        <f aca="true" t="shared" si="48" ref="G47:BR47">SUM(G27:G32,G33,G43:G46)</f>
        <v>184018.61</v>
      </c>
      <c r="H47" s="227">
        <f t="shared" si="48"/>
        <v>9033.27</v>
      </c>
      <c r="I47" s="227">
        <f t="shared" si="48"/>
        <v>1707.67</v>
      </c>
      <c r="J47" s="227">
        <f t="shared" si="48"/>
        <v>0</v>
      </c>
      <c r="K47" s="227">
        <f t="shared" si="48"/>
        <v>0</v>
      </c>
      <c r="L47" s="227">
        <f>SUM(L27:L32,L33,L43:L46)</f>
        <v>28879681.549999997</v>
      </c>
      <c r="M47" s="227">
        <f t="shared" si="48"/>
        <v>9777.51</v>
      </c>
      <c r="N47" s="227">
        <f t="shared" si="48"/>
        <v>5216.25</v>
      </c>
      <c r="O47" s="227">
        <f>SUM(O27:O32,O33,O43:O46)</f>
        <v>357.78</v>
      </c>
      <c r="P47" s="227">
        <f>SUM(P27:P32,P33,P43:P46)</f>
        <v>0</v>
      </c>
      <c r="Q47" s="227">
        <f t="shared" si="48"/>
        <v>0</v>
      </c>
      <c r="R47" s="227">
        <f>SUM(R27:R32,R33,R43:R46)</f>
        <v>28874762.509999998</v>
      </c>
      <c r="S47" s="227">
        <f t="shared" si="48"/>
        <v>18970.64</v>
      </c>
      <c r="T47" s="227">
        <f t="shared" si="48"/>
        <v>197576.63</v>
      </c>
      <c r="U47" s="227">
        <f t="shared" si="48"/>
        <v>0</v>
      </c>
      <c r="V47" s="227">
        <f t="shared" si="48"/>
        <v>0</v>
      </c>
      <c r="W47" s="227">
        <f t="shared" si="48"/>
        <v>0</v>
      </c>
      <c r="X47" s="227">
        <f t="shared" si="48"/>
        <v>29053368.5</v>
      </c>
      <c r="Y47" s="227">
        <f t="shared" si="48"/>
        <v>158902.63</v>
      </c>
      <c r="Z47" s="227">
        <f t="shared" si="48"/>
        <v>21806.14</v>
      </c>
      <c r="AA47" s="227">
        <f t="shared" si="48"/>
        <v>0</v>
      </c>
      <c r="AB47" s="227">
        <f t="shared" si="48"/>
        <v>0</v>
      </c>
      <c r="AC47" s="227">
        <f t="shared" si="48"/>
        <v>0</v>
      </c>
      <c r="AD47" s="227">
        <f t="shared" si="48"/>
        <v>28916272.009999998</v>
      </c>
      <c r="AE47" s="227">
        <f t="shared" si="48"/>
        <v>561303.74</v>
      </c>
      <c r="AF47" s="227">
        <f>SUM(AF27:AF32,AF33,AF43:AF46)</f>
        <v>293417.62</v>
      </c>
      <c r="AG47" s="227">
        <f t="shared" si="48"/>
        <v>0</v>
      </c>
      <c r="AH47" s="227">
        <f t="shared" si="48"/>
        <v>0</v>
      </c>
      <c r="AI47" s="227">
        <f t="shared" si="48"/>
        <v>0</v>
      </c>
      <c r="AJ47" s="227">
        <f>SUM(AJ27:AJ32,AJ33,AJ43:AJ46)</f>
        <v>28648385.89</v>
      </c>
      <c r="AK47" s="227">
        <f t="shared" si="48"/>
        <v>3525836.22</v>
      </c>
      <c r="AL47" s="227">
        <f t="shared" si="48"/>
        <v>148293.72</v>
      </c>
      <c r="AM47" s="259">
        <f t="shared" si="48"/>
        <v>0</v>
      </c>
      <c r="AN47" s="259">
        <f t="shared" si="48"/>
        <v>0</v>
      </c>
      <c r="AO47" s="227">
        <f t="shared" si="48"/>
        <v>0</v>
      </c>
      <c r="AP47" s="227">
        <f t="shared" si="48"/>
        <v>25270843.39</v>
      </c>
      <c r="AQ47" s="227">
        <f t="shared" si="48"/>
        <v>0</v>
      </c>
      <c r="AR47" s="227">
        <f t="shared" si="48"/>
        <v>0</v>
      </c>
      <c r="AS47" s="227">
        <f t="shared" si="48"/>
        <v>0</v>
      </c>
      <c r="AT47" s="227">
        <f t="shared" si="48"/>
        <v>0</v>
      </c>
      <c r="AU47" s="227">
        <f t="shared" si="48"/>
        <v>0</v>
      </c>
      <c r="AV47" s="227">
        <f t="shared" si="48"/>
        <v>25270843.39</v>
      </c>
      <c r="AW47" s="227">
        <f t="shared" si="48"/>
        <v>1081985.21</v>
      </c>
      <c r="AX47" s="227">
        <f>SUM(AX27:AX32,AX33,AX43:AX46)</f>
        <v>51529.76</v>
      </c>
      <c r="AY47" s="227">
        <f>SUM(AY27:AY32,AY33,AY43:AY46)</f>
        <v>0</v>
      </c>
      <c r="AZ47" s="227">
        <f t="shared" si="48"/>
        <v>0</v>
      </c>
      <c r="BA47" s="227">
        <f t="shared" si="48"/>
        <v>0</v>
      </c>
      <c r="BB47" s="227">
        <f t="shared" si="48"/>
        <v>24240387.939999998</v>
      </c>
      <c r="BC47" s="227">
        <f t="shared" si="48"/>
        <v>1646093.28</v>
      </c>
      <c r="BD47" s="227">
        <f t="shared" si="48"/>
        <v>30751.54</v>
      </c>
      <c r="BE47" s="227">
        <f t="shared" si="48"/>
        <v>0</v>
      </c>
      <c r="BF47" s="227">
        <f t="shared" si="48"/>
        <v>0</v>
      </c>
      <c r="BG47" s="227">
        <f t="shared" si="48"/>
        <v>0</v>
      </c>
      <c r="BH47" s="227">
        <f>SUM(BH27:BH32,BH33,BH43:BH46)</f>
        <v>22625046.2</v>
      </c>
      <c r="BI47" s="227">
        <f t="shared" si="48"/>
        <v>2523922.96</v>
      </c>
      <c r="BJ47" s="227">
        <f t="shared" si="48"/>
        <v>32524.800000000003</v>
      </c>
      <c r="BK47" s="227">
        <f t="shared" si="48"/>
        <v>114850</v>
      </c>
      <c r="BL47" s="227">
        <f t="shared" si="48"/>
        <v>115215</v>
      </c>
      <c r="BM47" s="227">
        <f t="shared" si="48"/>
        <v>0</v>
      </c>
      <c r="BN47" s="227">
        <f>SUM(BN27:BN32,BN33,BN43:BN46)</f>
        <v>20123517.04</v>
      </c>
      <c r="BO47" s="227">
        <f t="shared" si="48"/>
        <v>28428.75</v>
      </c>
      <c r="BP47" s="227">
        <f t="shared" si="48"/>
        <v>28992.27</v>
      </c>
      <c r="BQ47" s="227">
        <f t="shared" si="48"/>
        <v>119633</v>
      </c>
      <c r="BR47" s="227">
        <f t="shared" si="48"/>
        <v>0</v>
      </c>
      <c r="BS47" s="227">
        <f aca="true" t="shared" si="49" ref="BS47:BZ47">SUM(BS27:BS32,BS33,BS43:BS46)</f>
        <v>0</v>
      </c>
      <c r="BT47" s="227">
        <f t="shared" si="49"/>
        <v>20004447.56</v>
      </c>
      <c r="BU47" s="227">
        <f t="shared" si="49"/>
        <v>12520.3</v>
      </c>
      <c r="BV47" s="227">
        <f t="shared" si="49"/>
        <v>27550.22</v>
      </c>
      <c r="BW47" s="227">
        <f t="shared" si="49"/>
        <v>14</v>
      </c>
      <c r="BX47" s="227">
        <f t="shared" si="49"/>
        <v>5541897.71</v>
      </c>
      <c r="BY47" s="227">
        <f t="shared" si="49"/>
        <v>0</v>
      </c>
      <c r="BZ47" s="227">
        <f t="shared" si="49"/>
        <v>25561361.189999998</v>
      </c>
      <c r="CA47" s="227">
        <f>SUM(CA27:CA32,CA33,CA43:CA46)</f>
        <v>1796494.74</v>
      </c>
      <c r="CB47" s="227">
        <f>SUM(CB27:CB32,CB33,CB43:CB46)</f>
        <v>8905916.83</v>
      </c>
      <c r="CC47" s="227">
        <f>SUM(CC27:CC32,CC33,CC43:CC46)</f>
        <v>0</v>
      </c>
      <c r="CD47" s="227">
        <f>SUM(CD27:CD32,CD33,CD43:CD46)</f>
        <v>32709061.72</v>
      </c>
      <c r="CE47" s="260"/>
      <c r="CF47" s="260"/>
    </row>
    <row r="48" spans="1:82" ht="15.75">
      <c r="A48" s="725" t="s">
        <v>18</v>
      </c>
      <c r="B48" s="726"/>
      <c r="C48" s="726"/>
      <c r="D48" s="726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524"/>
      <c r="AF48" s="524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</row>
    <row r="49" spans="1:84" s="395" customFormat="1" ht="15.75">
      <c r="A49" s="390" t="s">
        <v>95</v>
      </c>
      <c r="B49" s="391"/>
      <c r="C49" s="391"/>
      <c r="D49" s="391"/>
      <c r="E49" s="392">
        <f>SUM(E50,E54,E67,E71,E73,E77)</f>
        <v>0</v>
      </c>
      <c r="F49" s="392">
        <f aca="true" t="shared" si="50" ref="F49:BQ49">SUM(F50,F54,F67,F71,F73,F77)</f>
        <v>0</v>
      </c>
      <c r="G49" s="392">
        <f t="shared" si="50"/>
        <v>0</v>
      </c>
      <c r="H49" s="392">
        <f t="shared" si="50"/>
        <v>26329.5</v>
      </c>
      <c r="I49" s="392">
        <f t="shared" si="50"/>
        <v>0</v>
      </c>
      <c r="J49" s="392">
        <f t="shared" si="50"/>
        <v>0</v>
      </c>
      <c r="K49" s="392">
        <f t="shared" si="50"/>
        <v>0</v>
      </c>
      <c r="L49" s="392">
        <f t="shared" si="50"/>
        <v>26329.5</v>
      </c>
      <c r="M49" s="392">
        <f t="shared" si="50"/>
        <v>0</v>
      </c>
      <c r="N49" s="392">
        <f t="shared" si="50"/>
        <v>56150</v>
      </c>
      <c r="O49" s="392">
        <f t="shared" si="50"/>
        <v>0</v>
      </c>
      <c r="P49" s="392">
        <f t="shared" si="50"/>
        <v>0</v>
      </c>
      <c r="Q49" s="392">
        <f t="shared" si="50"/>
        <v>0</v>
      </c>
      <c r="R49" s="392">
        <f t="shared" si="50"/>
        <v>82479.5</v>
      </c>
      <c r="S49" s="392">
        <f t="shared" si="50"/>
        <v>0</v>
      </c>
      <c r="T49" s="392">
        <f t="shared" si="50"/>
        <v>146454.21000000002</v>
      </c>
      <c r="U49" s="392">
        <f t="shared" si="50"/>
        <v>0</v>
      </c>
      <c r="V49" s="392">
        <f t="shared" si="50"/>
        <v>0</v>
      </c>
      <c r="W49" s="392">
        <f t="shared" si="50"/>
        <v>0</v>
      </c>
      <c r="X49" s="392">
        <f t="shared" si="50"/>
        <v>228933.71000000002</v>
      </c>
      <c r="Y49" s="392">
        <f t="shared" si="50"/>
        <v>0</v>
      </c>
      <c r="Z49" s="392">
        <f t="shared" si="50"/>
        <v>62757.25</v>
      </c>
      <c r="AA49" s="392">
        <f t="shared" si="50"/>
        <v>0</v>
      </c>
      <c r="AB49" s="392">
        <f t="shared" si="50"/>
        <v>0</v>
      </c>
      <c r="AC49" s="392">
        <f t="shared" si="50"/>
        <v>0</v>
      </c>
      <c r="AD49" s="392">
        <f t="shared" si="50"/>
        <v>291690.96</v>
      </c>
      <c r="AE49" s="529">
        <f t="shared" si="50"/>
        <v>0</v>
      </c>
      <c r="AF49" s="392">
        <f>SUM(AF50,AF54,AF67,AF71,AF73,AF77)</f>
        <v>99524.13</v>
      </c>
      <c r="AG49" s="392">
        <f t="shared" si="50"/>
        <v>0</v>
      </c>
      <c r="AH49" s="392">
        <f t="shared" si="50"/>
        <v>0</v>
      </c>
      <c r="AI49" s="392">
        <f t="shared" si="50"/>
        <v>0</v>
      </c>
      <c r="AJ49" s="392">
        <f t="shared" si="50"/>
        <v>391215.09</v>
      </c>
      <c r="AK49" s="392">
        <f t="shared" si="50"/>
        <v>0</v>
      </c>
      <c r="AL49" s="392">
        <f t="shared" si="50"/>
        <v>232421.99999999997</v>
      </c>
      <c r="AM49" s="393">
        <f t="shared" si="50"/>
        <v>0</v>
      </c>
      <c r="AN49" s="393">
        <f t="shared" si="50"/>
        <v>0</v>
      </c>
      <c r="AO49" s="392">
        <f t="shared" si="50"/>
        <v>0</v>
      </c>
      <c r="AP49" s="392">
        <f t="shared" si="50"/>
        <v>623637.09</v>
      </c>
      <c r="AQ49" s="392">
        <f t="shared" si="50"/>
        <v>0</v>
      </c>
      <c r="AR49" s="392">
        <f t="shared" si="50"/>
        <v>0</v>
      </c>
      <c r="AS49" s="392">
        <f t="shared" si="50"/>
        <v>0</v>
      </c>
      <c r="AT49" s="392">
        <f t="shared" si="50"/>
        <v>0</v>
      </c>
      <c r="AU49" s="392">
        <f t="shared" si="50"/>
        <v>0</v>
      </c>
      <c r="AV49" s="392">
        <f t="shared" si="50"/>
        <v>623637.09</v>
      </c>
      <c r="AW49" s="392">
        <f t="shared" si="50"/>
        <v>0</v>
      </c>
      <c r="AX49" s="392">
        <f t="shared" si="50"/>
        <v>35246.57</v>
      </c>
      <c r="AY49" s="392">
        <f t="shared" si="50"/>
        <v>15907.09</v>
      </c>
      <c r="AZ49" s="392">
        <f t="shared" si="50"/>
        <v>15907.09</v>
      </c>
      <c r="BA49" s="392">
        <f t="shared" si="50"/>
        <v>0</v>
      </c>
      <c r="BB49" s="392">
        <f t="shared" si="50"/>
        <v>578123.66</v>
      </c>
      <c r="BC49" s="392">
        <f t="shared" si="50"/>
        <v>0</v>
      </c>
      <c r="BD49" s="392">
        <f>SUM(BD50,BD54,BD67,BD71,BD73,BD77)</f>
        <v>33679.75</v>
      </c>
      <c r="BE49" s="392">
        <f t="shared" si="50"/>
        <v>0</v>
      </c>
      <c r="BF49" s="392">
        <f t="shared" si="50"/>
        <v>0</v>
      </c>
      <c r="BG49" s="392">
        <f t="shared" si="50"/>
        <v>0</v>
      </c>
      <c r="BH49" s="392">
        <f>SUM(BH50,BH54,BH67,BH71,BH73,BH77)</f>
        <v>611803.41</v>
      </c>
      <c r="BI49" s="392">
        <f t="shared" si="50"/>
        <v>0</v>
      </c>
      <c r="BJ49" s="392">
        <f t="shared" si="50"/>
        <v>145321.99</v>
      </c>
      <c r="BK49" s="392">
        <f t="shared" si="50"/>
        <v>0</v>
      </c>
      <c r="BL49" s="392">
        <f t="shared" si="50"/>
        <v>0</v>
      </c>
      <c r="BM49" s="392">
        <f t="shared" si="50"/>
        <v>0</v>
      </c>
      <c r="BN49" s="392">
        <f t="shared" si="50"/>
        <v>757125.4</v>
      </c>
      <c r="BO49" s="392">
        <f t="shared" si="50"/>
        <v>0</v>
      </c>
      <c r="BP49" s="392">
        <f t="shared" si="50"/>
        <v>24011.120000000003</v>
      </c>
      <c r="BQ49" s="392">
        <f t="shared" si="50"/>
        <v>0</v>
      </c>
      <c r="BR49" s="392">
        <f aca="true" t="shared" si="51" ref="BR49:CC49">SUM(BR50,BR54,BR67,BR71,BR73,BR77)</f>
        <v>0</v>
      </c>
      <c r="BS49" s="392">
        <f t="shared" si="51"/>
        <v>0</v>
      </c>
      <c r="BT49" s="392">
        <f t="shared" si="51"/>
        <v>781136.52</v>
      </c>
      <c r="BU49" s="392">
        <f t="shared" si="51"/>
        <v>90</v>
      </c>
      <c r="BV49" s="392">
        <f t="shared" si="51"/>
        <v>94238.76</v>
      </c>
      <c r="BW49" s="392">
        <f t="shared" si="51"/>
        <v>450</v>
      </c>
      <c r="BX49" s="392">
        <f t="shared" si="51"/>
        <v>28423.25</v>
      </c>
      <c r="BY49" s="392">
        <f t="shared" si="51"/>
        <v>0</v>
      </c>
      <c r="BZ49" s="392">
        <f t="shared" si="51"/>
        <v>903258.53</v>
      </c>
      <c r="CA49" s="392">
        <f t="shared" si="51"/>
        <v>1072008.81</v>
      </c>
      <c r="CB49" s="392">
        <f t="shared" si="51"/>
        <v>0</v>
      </c>
      <c r="CC49" s="392">
        <f t="shared" si="51"/>
        <v>0</v>
      </c>
      <c r="CD49" s="392">
        <f>SUM(CD50,CD54,CD67,CD71,CD73,CD77)</f>
        <v>-168750.28000000003</v>
      </c>
      <c r="CE49" s="394"/>
      <c r="CF49" s="394"/>
    </row>
    <row r="50" spans="1:84" s="395" customFormat="1" ht="15.75">
      <c r="A50" s="396"/>
      <c r="B50" s="397" t="s">
        <v>96</v>
      </c>
      <c r="C50" s="397"/>
      <c r="D50" s="397"/>
      <c r="E50" s="398">
        <f>SUM(E51:E53)</f>
        <v>0</v>
      </c>
      <c r="F50" s="398">
        <f>SUM(F51:F53)</f>
        <v>0</v>
      </c>
      <c r="G50" s="398">
        <f>SUM(G51:G53)</f>
        <v>0</v>
      </c>
      <c r="H50" s="398">
        <f>SUM(H51:H53)</f>
        <v>34.5</v>
      </c>
      <c r="I50" s="398">
        <f aca="true" t="shared" si="52" ref="I50:BT50">SUM(I51:I53)</f>
        <v>0</v>
      </c>
      <c r="J50" s="398">
        <f t="shared" si="52"/>
        <v>0</v>
      </c>
      <c r="K50" s="398">
        <f t="shared" si="52"/>
        <v>0</v>
      </c>
      <c r="L50" s="398">
        <f>SUM(L51:L53)</f>
        <v>34.5</v>
      </c>
      <c r="M50" s="398">
        <f t="shared" si="52"/>
        <v>0</v>
      </c>
      <c r="N50" s="398">
        <f>SUM(N51:N53)</f>
        <v>0</v>
      </c>
      <c r="O50" s="398">
        <f t="shared" si="52"/>
        <v>0</v>
      </c>
      <c r="P50" s="398">
        <f t="shared" si="52"/>
        <v>0</v>
      </c>
      <c r="Q50" s="398">
        <f t="shared" si="52"/>
        <v>0</v>
      </c>
      <c r="R50" s="398">
        <f>SUM(R51:R53)</f>
        <v>34.5</v>
      </c>
      <c r="S50" s="398">
        <f t="shared" si="52"/>
        <v>0</v>
      </c>
      <c r="T50" s="398">
        <f t="shared" si="52"/>
        <v>0</v>
      </c>
      <c r="U50" s="398">
        <f t="shared" si="52"/>
        <v>0</v>
      </c>
      <c r="V50" s="398">
        <f t="shared" si="52"/>
        <v>0</v>
      </c>
      <c r="W50" s="398">
        <f t="shared" si="52"/>
        <v>0</v>
      </c>
      <c r="X50" s="398">
        <f>SUM(X51:X53)</f>
        <v>34.5</v>
      </c>
      <c r="Y50" s="398">
        <f t="shared" si="52"/>
        <v>0</v>
      </c>
      <c r="Z50" s="398">
        <f>SUM(Z51:Z53)</f>
        <v>20522.25</v>
      </c>
      <c r="AA50" s="398">
        <f t="shared" si="52"/>
        <v>0</v>
      </c>
      <c r="AB50" s="398">
        <f t="shared" si="52"/>
        <v>0</v>
      </c>
      <c r="AC50" s="398">
        <f t="shared" si="52"/>
        <v>0</v>
      </c>
      <c r="AD50" s="398">
        <f t="shared" si="52"/>
        <v>20556.75</v>
      </c>
      <c r="AE50" s="530">
        <f t="shared" si="52"/>
        <v>0</v>
      </c>
      <c r="AF50" s="398">
        <f>SUM(AF51:AF53)</f>
        <v>61814.73</v>
      </c>
      <c r="AG50" s="398">
        <f t="shared" si="52"/>
        <v>0</v>
      </c>
      <c r="AH50" s="398">
        <f t="shared" si="52"/>
        <v>0</v>
      </c>
      <c r="AI50" s="398">
        <f t="shared" si="52"/>
        <v>0</v>
      </c>
      <c r="AJ50" s="398">
        <f>SUM(AJ51:AJ53)</f>
        <v>82371.48</v>
      </c>
      <c r="AK50" s="398">
        <f t="shared" si="52"/>
        <v>0</v>
      </c>
      <c r="AL50" s="398">
        <f t="shared" si="52"/>
        <v>77447.33</v>
      </c>
      <c r="AM50" s="399">
        <f t="shared" si="52"/>
        <v>0</v>
      </c>
      <c r="AN50" s="399">
        <f t="shared" si="52"/>
        <v>0</v>
      </c>
      <c r="AO50" s="398">
        <f t="shared" si="52"/>
        <v>0</v>
      </c>
      <c r="AP50" s="398">
        <f t="shared" si="52"/>
        <v>159818.81</v>
      </c>
      <c r="AQ50" s="398">
        <f t="shared" si="52"/>
        <v>0</v>
      </c>
      <c r="AR50" s="398">
        <f t="shared" si="52"/>
        <v>0</v>
      </c>
      <c r="AS50" s="398">
        <f t="shared" si="52"/>
        <v>0</v>
      </c>
      <c r="AT50" s="398">
        <f t="shared" si="52"/>
        <v>0</v>
      </c>
      <c r="AU50" s="398">
        <f t="shared" si="52"/>
        <v>0</v>
      </c>
      <c r="AV50" s="398">
        <f>SUM(AV51:AV53)</f>
        <v>159818.81</v>
      </c>
      <c r="AW50" s="398">
        <f t="shared" si="52"/>
        <v>0</v>
      </c>
      <c r="AX50" s="398">
        <f>SUM(AX51:AX53)</f>
        <v>3746.5699999999997</v>
      </c>
      <c r="AY50" s="398">
        <f>SUM(AY51:AY53)</f>
        <v>15907.09</v>
      </c>
      <c r="AZ50" s="398">
        <f>SUM(AZ51:AZ53)</f>
        <v>15907.09</v>
      </c>
      <c r="BA50" s="398">
        <f t="shared" si="52"/>
        <v>0</v>
      </c>
      <c r="BB50" s="398">
        <f t="shared" si="52"/>
        <v>163565.37999999998</v>
      </c>
      <c r="BC50" s="398">
        <f t="shared" si="52"/>
        <v>0</v>
      </c>
      <c r="BD50" s="398">
        <f t="shared" si="52"/>
        <v>2879.75</v>
      </c>
      <c r="BE50" s="398">
        <f t="shared" si="52"/>
        <v>0</v>
      </c>
      <c r="BF50" s="398">
        <f t="shared" si="52"/>
        <v>0</v>
      </c>
      <c r="BG50" s="398">
        <f>SUM(BG51:BG53)</f>
        <v>0</v>
      </c>
      <c r="BH50" s="398">
        <f>SUM(BH51:BH53)</f>
        <v>166445.12999999998</v>
      </c>
      <c r="BI50" s="398">
        <f t="shared" si="52"/>
        <v>0</v>
      </c>
      <c r="BJ50" s="398">
        <f t="shared" si="52"/>
        <v>7590.55</v>
      </c>
      <c r="BK50" s="398">
        <f t="shared" si="52"/>
        <v>0</v>
      </c>
      <c r="BL50" s="398">
        <f t="shared" si="52"/>
        <v>0</v>
      </c>
      <c r="BM50" s="398">
        <f t="shared" si="52"/>
        <v>0</v>
      </c>
      <c r="BN50" s="398">
        <f>SUM(BN51:BN53)</f>
        <v>174035.67999999996</v>
      </c>
      <c r="BO50" s="398">
        <f t="shared" si="52"/>
        <v>0</v>
      </c>
      <c r="BP50" s="398">
        <f t="shared" si="52"/>
        <v>261.46</v>
      </c>
      <c r="BQ50" s="398">
        <f t="shared" si="52"/>
        <v>0</v>
      </c>
      <c r="BR50" s="398">
        <f t="shared" si="52"/>
        <v>0</v>
      </c>
      <c r="BS50" s="398">
        <f t="shared" si="52"/>
        <v>0</v>
      </c>
      <c r="BT50" s="398">
        <f t="shared" si="52"/>
        <v>174297.13999999998</v>
      </c>
      <c r="BU50" s="398">
        <f aca="true" t="shared" si="53" ref="BU50:CC50">SUM(BU51:BU53)</f>
        <v>0</v>
      </c>
      <c r="BV50" s="398">
        <f t="shared" si="53"/>
        <v>1707.13</v>
      </c>
      <c r="BW50" s="398">
        <f t="shared" si="53"/>
        <v>0</v>
      </c>
      <c r="BX50" s="398">
        <f t="shared" si="53"/>
        <v>2090.75</v>
      </c>
      <c r="BY50" s="398">
        <f t="shared" si="53"/>
        <v>0</v>
      </c>
      <c r="BZ50" s="398">
        <f t="shared" si="53"/>
        <v>178095.02</v>
      </c>
      <c r="CA50" s="398">
        <f>SUM(CA51:CA53)</f>
        <v>194039.25999999998</v>
      </c>
      <c r="CB50" s="398">
        <f>SUM(CB51:CB53)</f>
        <v>0</v>
      </c>
      <c r="CC50" s="398">
        <f t="shared" si="53"/>
        <v>0</v>
      </c>
      <c r="CD50" s="398">
        <f>SUM(CD51:CD53)</f>
        <v>-15944.240000000009</v>
      </c>
      <c r="CE50" s="394"/>
      <c r="CF50" s="394"/>
    </row>
    <row r="51" spans="1:82" ht="15.75">
      <c r="A51" s="40"/>
      <c r="B51" s="41"/>
      <c r="C51" s="41" t="s">
        <v>42</v>
      </c>
      <c r="D51" s="41"/>
      <c r="E51" s="42"/>
      <c r="F51" s="42"/>
      <c r="G51" s="42"/>
      <c r="H51" s="42"/>
      <c r="I51" s="42"/>
      <c r="J51" s="42"/>
      <c r="K51" s="42"/>
      <c r="L51" s="42">
        <f>SUM(F51-G51+H51-I51+J51)</f>
        <v>0</v>
      </c>
      <c r="M51" s="42"/>
      <c r="N51" s="42"/>
      <c r="O51" s="42"/>
      <c r="P51" s="42"/>
      <c r="Q51" s="42"/>
      <c r="R51" s="42">
        <f>SUM(L51-M51+N51-O51+P51)</f>
        <v>0</v>
      </c>
      <c r="S51" s="42"/>
      <c r="T51" s="42"/>
      <c r="U51" s="42"/>
      <c r="V51" s="42"/>
      <c r="W51" s="42"/>
      <c r="X51" s="42">
        <f>SUM(R51-S51+T51-U51+V51)</f>
        <v>0</v>
      </c>
      <c r="Y51" s="42"/>
      <c r="Z51" s="42">
        <v>18998</v>
      </c>
      <c r="AA51" s="42"/>
      <c r="AB51" s="42"/>
      <c r="AC51" s="42"/>
      <c r="AD51" s="42">
        <f>SUM(X51-Y51+Z51-AA51+AB51)</f>
        <v>18998</v>
      </c>
      <c r="AE51" s="526"/>
      <c r="AF51" s="42">
        <v>58279</v>
      </c>
      <c r="AG51" s="42"/>
      <c r="AH51" s="42"/>
      <c r="AI51" s="42"/>
      <c r="AJ51" s="42">
        <f>SUM(AD51-AE51+AF51-AG51+AH51)</f>
        <v>77277</v>
      </c>
      <c r="AK51" s="42"/>
      <c r="AL51" s="42">
        <v>71911</v>
      </c>
      <c r="AM51" s="42"/>
      <c r="AN51" s="42"/>
      <c r="AO51" s="42"/>
      <c r="AP51" s="42">
        <f>SUM(AJ51-AK51+AL51-AM51+AN51)</f>
        <v>149188</v>
      </c>
      <c r="AQ51" s="42"/>
      <c r="AR51" s="42"/>
      <c r="AS51" s="42"/>
      <c r="AT51" s="42"/>
      <c r="AU51" s="42"/>
      <c r="AV51" s="42">
        <f>SUM(AP51-AQ51+AR51-AS51+AT51)</f>
        <v>149188</v>
      </c>
      <c r="AW51" s="42"/>
      <c r="AX51" s="42">
        <v>1330.84</v>
      </c>
      <c r="AY51" s="42">
        <v>3896.57</v>
      </c>
      <c r="AZ51" s="42">
        <v>12010.52</v>
      </c>
      <c r="BA51" s="42"/>
      <c r="BB51" s="42">
        <f>SUM(AV51-AW51+AX51-AY51+AZ51)</f>
        <v>158632.78999999998</v>
      </c>
      <c r="BC51" s="42"/>
      <c r="BD51" s="42">
        <v>774.4</v>
      </c>
      <c r="BE51" s="42"/>
      <c r="BF51" s="42"/>
      <c r="BG51" s="42"/>
      <c r="BH51" s="42">
        <f>SUM(BB51-BC51+BD51-BE51+BF51)</f>
        <v>159407.18999999997</v>
      </c>
      <c r="BI51" s="42"/>
      <c r="BJ51" s="42">
        <v>5897.1</v>
      </c>
      <c r="BK51" s="42"/>
      <c r="BL51" s="42"/>
      <c r="BM51" s="42"/>
      <c r="BN51" s="42">
        <f>SUM(BH51-BI51+BJ51-BK51+BL51)</f>
        <v>165304.28999999998</v>
      </c>
      <c r="BO51" s="42"/>
      <c r="BP51" s="42"/>
      <c r="BQ51" s="42"/>
      <c r="BR51" s="42"/>
      <c r="BS51" s="42"/>
      <c r="BT51" s="42">
        <f>SUM(BN51-BO51+BP51-BQ51+BR51)</f>
        <v>165304.28999999998</v>
      </c>
      <c r="BU51" s="42"/>
      <c r="BV51" s="42"/>
      <c r="BW51" s="42"/>
      <c r="BX51" s="42"/>
      <c r="BY51" s="42"/>
      <c r="BZ51" s="42">
        <f>SUM(BT51-BU51+BV51-BW51+BX51)</f>
        <v>165304.28999999998</v>
      </c>
      <c r="CA51" s="42">
        <v>166818.36</v>
      </c>
      <c r="CB51" s="42"/>
      <c r="CC51" s="42"/>
      <c r="CD51" s="15">
        <f>SUM(BX51-BY51+BZ51-CA51+CB51)</f>
        <v>-1514.070000000007</v>
      </c>
    </row>
    <row r="52" spans="1:82" ht="15.75">
      <c r="A52" s="43"/>
      <c r="B52" s="44"/>
      <c r="C52" s="44" t="s">
        <v>41</v>
      </c>
      <c r="D52" s="44"/>
      <c r="E52" s="45"/>
      <c r="F52" s="45"/>
      <c r="G52" s="45"/>
      <c r="H52" s="45">
        <v>34.5</v>
      </c>
      <c r="I52" s="45"/>
      <c r="J52" s="45"/>
      <c r="K52" s="45"/>
      <c r="L52" s="45">
        <f>SUM(F52-G52+H52-I52+J52)</f>
        <v>34.5</v>
      </c>
      <c r="M52" s="45"/>
      <c r="N52" s="45"/>
      <c r="O52" s="45"/>
      <c r="P52" s="45"/>
      <c r="Q52" s="45"/>
      <c r="R52" s="45">
        <f>SUM(L52-M52+N52-O52+P52)</f>
        <v>34.5</v>
      </c>
      <c r="S52" s="45"/>
      <c r="T52" s="45"/>
      <c r="U52" s="45"/>
      <c r="V52" s="45"/>
      <c r="W52" s="45"/>
      <c r="X52" s="45">
        <f>SUM(R52-S52+T52-U52+V52)</f>
        <v>34.5</v>
      </c>
      <c r="Y52" s="45"/>
      <c r="Z52" s="45">
        <v>1324.25</v>
      </c>
      <c r="AA52" s="45"/>
      <c r="AB52" s="45"/>
      <c r="AC52" s="45"/>
      <c r="AD52" s="45">
        <f>SUM(X52-Y52+Z52-AA52+AB52)</f>
        <v>1358.75</v>
      </c>
      <c r="AE52" s="527"/>
      <c r="AF52" s="45">
        <v>1087.73</v>
      </c>
      <c r="AG52" s="45"/>
      <c r="AH52" s="45"/>
      <c r="AI52" s="45"/>
      <c r="AJ52" s="45">
        <f>SUM(AD52-AE52+AF52-AG52+AH52)</f>
        <v>2446.48</v>
      </c>
      <c r="AK52" s="45"/>
      <c r="AL52" s="45">
        <v>3676.33</v>
      </c>
      <c r="AM52" s="45"/>
      <c r="AN52" s="45"/>
      <c r="AO52" s="45"/>
      <c r="AP52" s="45">
        <f>SUM(AJ52-AK52+AL52-AM52+AN52)</f>
        <v>6122.8099999999995</v>
      </c>
      <c r="AQ52" s="45"/>
      <c r="AR52" s="45"/>
      <c r="AS52" s="45"/>
      <c r="AT52" s="45"/>
      <c r="AU52" s="45"/>
      <c r="AV52" s="45">
        <f>SUM(AP52-AQ52+AR52-AS52+AT52)</f>
        <v>6122.8099999999995</v>
      </c>
      <c r="AW52" s="45"/>
      <c r="AX52" s="45">
        <v>2415.73</v>
      </c>
      <c r="AY52" s="45">
        <v>12010.52</v>
      </c>
      <c r="AZ52" s="45">
        <v>3896.57</v>
      </c>
      <c r="BA52" s="45"/>
      <c r="BB52" s="45">
        <f>SUM(AV52-AW52+AX52-AY52+AZ52)</f>
        <v>424.5899999999988</v>
      </c>
      <c r="BC52" s="45"/>
      <c r="BD52" s="45">
        <v>1885.35</v>
      </c>
      <c r="BE52" s="45"/>
      <c r="BF52" s="45"/>
      <c r="BG52" s="45"/>
      <c r="BH52" s="45">
        <f>SUM(BB52-BC52+BD52-BE52+BF52)</f>
        <v>2309.9399999999987</v>
      </c>
      <c r="BI52" s="45"/>
      <c r="BJ52" s="45">
        <v>1693.45</v>
      </c>
      <c r="BK52" s="45"/>
      <c r="BL52" s="45"/>
      <c r="BM52" s="45"/>
      <c r="BN52" s="45">
        <f>SUM(BH52-BI52+BJ52-BK52+BL52)</f>
        <v>4003.3899999999985</v>
      </c>
      <c r="BO52" s="45"/>
      <c r="BP52" s="45">
        <v>261.46</v>
      </c>
      <c r="BQ52" s="45"/>
      <c r="BR52" s="45"/>
      <c r="BS52" s="45"/>
      <c r="BT52" s="45">
        <f>SUM(BN52-BO52+BP52-BQ52+BR52)</f>
        <v>4264.8499999999985</v>
      </c>
      <c r="BU52" s="45"/>
      <c r="BV52" s="45">
        <v>1707.13</v>
      </c>
      <c r="BW52" s="45"/>
      <c r="BX52" s="45">
        <v>2090.75</v>
      </c>
      <c r="BY52" s="45"/>
      <c r="BZ52" s="45">
        <f>SUM(BT52-BU52+BV52-BW52+BX52)</f>
        <v>8062.729999999999</v>
      </c>
      <c r="CA52" s="45">
        <v>18318.06</v>
      </c>
      <c r="CB52" s="45"/>
      <c r="CC52" s="45"/>
      <c r="CD52" s="45">
        <f>+BZ52+CB52-CA52</f>
        <v>-10255.330000000002</v>
      </c>
    </row>
    <row r="53" spans="1:82" ht="15.75">
      <c r="A53" s="46"/>
      <c r="B53" s="47"/>
      <c r="C53" s="47" t="s">
        <v>43</v>
      </c>
      <c r="D53" s="47"/>
      <c r="E53" s="48"/>
      <c r="F53" s="48"/>
      <c r="G53" s="48"/>
      <c r="H53" s="48"/>
      <c r="I53" s="48"/>
      <c r="J53" s="48"/>
      <c r="K53" s="48"/>
      <c r="L53" s="45">
        <f>SUM(F53-G53+H53-I53+J53)</f>
        <v>0</v>
      </c>
      <c r="M53" s="48"/>
      <c r="N53" s="48"/>
      <c r="O53" s="48"/>
      <c r="P53" s="48"/>
      <c r="Q53" s="48"/>
      <c r="R53" s="45">
        <f>SUM(L53-M53+N53-O53+P53)</f>
        <v>0</v>
      </c>
      <c r="S53" s="48"/>
      <c r="T53" s="48"/>
      <c r="U53" s="48"/>
      <c r="V53" s="48"/>
      <c r="W53" s="48"/>
      <c r="X53" s="45">
        <f>SUM(R53-S53+T53-U53+V53)</f>
        <v>0</v>
      </c>
      <c r="Y53" s="48"/>
      <c r="Z53" s="48">
        <v>200</v>
      </c>
      <c r="AA53" s="48"/>
      <c r="AB53" s="48"/>
      <c r="AC53" s="48"/>
      <c r="AD53" s="45">
        <f>SUM(X53-Y53+Z53-AA53+AB53)</f>
        <v>200</v>
      </c>
      <c r="AE53" s="528"/>
      <c r="AF53" s="48">
        <v>2448</v>
      </c>
      <c r="AG53" s="48"/>
      <c r="AH53" s="48"/>
      <c r="AI53" s="48"/>
      <c r="AJ53" s="45">
        <f>SUM(AD53-AE53+AF53-AG53+AH53)</f>
        <v>2648</v>
      </c>
      <c r="AK53" s="48"/>
      <c r="AL53" s="48">
        <v>1860</v>
      </c>
      <c r="AM53" s="48"/>
      <c r="AN53" s="48"/>
      <c r="AO53" s="48"/>
      <c r="AP53" s="45">
        <f>SUM(AJ53-AK53+AL53-AM53+AN53)</f>
        <v>4508</v>
      </c>
      <c r="AQ53" s="48"/>
      <c r="AR53" s="48"/>
      <c r="AS53" s="48"/>
      <c r="AT53" s="48"/>
      <c r="AU53" s="48"/>
      <c r="AV53" s="45">
        <f>SUM(AP53-AQ53+AR53-AS53+AT53)</f>
        <v>4508</v>
      </c>
      <c r="AW53" s="48"/>
      <c r="AX53" s="48">
        <v>0</v>
      </c>
      <c r="AY53" s="48"/>
      <c r="AZ53" s="48"/>
      <c r="BA53" s="48"/>
      <c r="BB53" s="45">
        <f>SUM(AV53-AW53+AX53-AY53+AZ53)</f>
        <v>4508</v>
      </c>
      <c r="BC53" s="48"/>
      <c r="BD53" s="48">
        <v>220</v>
      </c>
      <c r="BE53" s="48"/>
      <c r="BF53" s="48"/>
      <c r="BG53" s="48"/>
      <c r="BH53" s="45">
        <f>SUM(BB53-BC53+BD53-BE53+BF53)</f>
        <v>4728</v>
      </c>
      <c r="BI53" s="48"/>
      <c r="BJ53" s="48">
        <v>0</v>
      </c>
      <c r="BK53" s="48"/>
      <c r="BL53" s="48"/>
      <c r="BM53" s="48"/>
      <c r="BN53" s="45">
        <f>SUM(BH53-BI53+BJ53-BK53+BL53)</f>
        <v>4728</v>
      </c>
      <c r="BO53" s="48"/>
      <c r="BP53" s="48"/>
      <c r="BQ53" s="48"/>
      <c r="BR53" s="48"/>
      <c r="BS53" s="48"/>
      <c r="BT53" s="45">
        <f>SUM(BN53-BO53+BP53-BQ53+BR53)</f>
        <v>4728</v>
      </c>
      <c r="BU53" s="48"/>
      <c r="BV53" s="48"/>
      <c r="BW53" s="48"/>
      <c r="BX53" s="48"/>
      <c r="BY53" s="48"/>
      <c r="BZ53" s="45">
        <f>SUM(BT53-BU53+BV53-BW53+BX53)</f>
        <v>4728</v>
      </c>
      <c r="CA53" s="48">
        <v>8902.84</v>
      </c>
      <c r="CB53" s="48"/>
      <c r="CC53" s="48"/>
      <c r="CD53" s="45">
        <f>SUM(BX53-BY53+BZ53-CA53+CB53)</f>
        <v>-4174.84</v>
      </c>
    </row>
    <row r="54" spans="1:84" s="405" customFormat="1" ht="15.75">
      <c r="A54" s="400"/>
      <c r="B54" s="401" t="s">
        <v>97</v>
      </c>
      <c r="C54" s="401"/>
      <c r="D54" s="401"/>
      <c r="E54" s="402">
        <f>SUM(E55:E66)</f>
        <v>0</v>
      </c>
      <c r="F54" s="402">
        <f>SUM(F55:F66)</f>
        <v>0</v>
      </c>
      <c r="G54" s="402">
        <f>SUM(G55:G66)</f>
        <v>0</v>
      </c>
      <c r="H54" s="402">
        <f>SUM(H55:H66)</f>
        <v>11780</v>
      </c>
      <c r="I54" s="402">
        <f aca="true" t="shared" si="54" ref="I54:BT54">SUM(I55:I66)</f>
        <v>0</v>
      </c>
      <c r="J54" s="402">
        <f t="shared" si="54"/>
        <v>0</v>
      </c>
      <c r="K54" s="402">
        <f t="shared" si="54"/>
        <v>0</v>
      </c>
      <c r="L54" s="402">
        <f>SUM(L55:L66)</f>
        <v>11780</v>
      </c>
      <c r="M54" s="402">
        <f t="shared" si="54"/>
        <v>0</v>
      </c>
      <c r="N54" s="402">
        <f>SUM(N55:N66)</f>
        <v>10490</v>
      </c>
      <c r="O54" s="402">
        <f t="shared" si="54"/>
        <v>0</v>
      </c>
      <c r="P54" s="402">
        <f t="shared" si="54"/>
        <v>0</v>
      </c>
      <c r="Q54" s="402">
        <f t="shared" si="54"/>
        <v>0</v>
      </c>
      <c r="R54" s="402">
        <f>SUM(R55:R66)</f>
        <v>22270</v>
      </c>
      <c r="S54" s="402">
        <f t="shared" si="54"/>
        <v>0</v>
      </c>
      <c r="T54" s="402">
        <f t="shared" si="54"/>
        <v>16420</v>
      </c>
      <c r="U54" s="402">
        <f t="shared" si="54"/>
        <v>0</v>
      </c>
      <c r="V54" s="402">
        <f t="shared" si="54"/>
        <v>0</v>
      </c>
      <c r="W54" s="402">
        <f t="shared" si="54"/>
        <v>0</v>
      </c>
      <c r="X54" s="402">
        <f t="shared" si="54"/>
        <v>38690</v>
      </c>
      <c r="Y54" s="402">
        <f t="shared" si="54"/>
        <v>0</v>
      </c>
      <c r="Z54" s="402">
        <f>SUM(Z55:Z66)</f>
        <v>13940</v>
      </c>
      <c r="AA54" s="402">
        <f t="shared" si="54"/>
        <v>0</v>
      </c>
      <c r="AB54" s="402">
        <f t="shared" si="54"/>
        <v>0</v>
      </c>
      <c r="AC54" s="402">
        <f t="shared" si="54"/>
        <v>0</v>
      </c>
      <c r="AD54" s="402">
        <f t="shared" si="54"/>
        <v>52630</v>
      </c>
      <c r="AE54" s="531">
        <f t="shared" si="54"/>
        <v>0</v>
      </c>
      <c r="AF54" s="402">
        <f>SUM(AF55:AF66)</f>
        <v>18579.4</v>
      </c>
      <c r="AG54" s="402">
        <f t="shared" si="54"/>
        <v>0</v>
      </c>
      <c r="AH54" s="402">
        <f t="shared" si="54"/>
        <v>0</v>
      </c>
      <c r="AI54" s="402">
        <f t="shared" si="54"/>
        <v>0</v>
      </c>
      <c r="AJ54" s="402">
        <f>SUM(AJ55:AJ66)</f>
        <v>71209.4</v>
      </c>
      <c r="AK54" s="402">
        <f t="shared" si="54"/>
        <v>0</v>
      </c>
      <c r="AL54" s="402">
        <f t="shared" si="54"/>
        <v>111191.4</v>
      </c>
      <c r="AM54" s="403">
        <f t="shared" si="54"/>
        <v>0</v>
      </c>
      <c r="AN54" s="403">
        <f t="shared" si="54"/>
        <v>0</v>
      </c>
      <c r="AO54" s="402">
        <f t="shared" si="54"/>
        <v>0</v>
      </c>
      <c r="AP54" s="402">
        <f t="shared" si="54"/>
        <v>182400.8</v>
      </c>
      <c r="AQ54" s="402">
        <f>SUM(AQ55:AQ66)</f>
        <v>0</v>
      </c>
      <c r="AR54" s="402">
        <f>SUM(AR55:AR66)</f>
        <v>0</v>
      </c>
      <c r="AS54" s="402">
        <f t="shared" si="54"/>
        <v>0</v>
      </c>
      <c r="AT54" s="402">
        <f t="shared" si="54"/>
        <v>0</v>
      </c>
      <c r="AU54" s="402">
        <f t="shared" si="54"/>
        <v>0</v>
      </c>
      <c r="AV54" s="402">
        <f>SUM(AV55:AV66)</f>
        <v>182400.8</v>
      </c>
      <c r="AW54" s="402">
        <f t="shared" si="54"/>
        <v>0</v>
      </c>
      <c r="AX54" s="402">
        <f>SUM(AX55:AX66)</f>
        <v>2010</v>
      </c>
      <c r="AY54" s="402">
        <f t="shared" si="54"/>
        <v>0</v>
      </c>
      <c r="AZ54" s="402">
        <f t="shared" si="54"/>
        <v>0</v>
      </c>
      <c r="BA54" s="402">
        <f t="shared" si="54"/>
        <v>0</v>
      </c>
      <c r="BB54" s="402">
        <f t="shared" si="54"/>
        <v>103650.8</v>
      </c>
      <c r="BC54" s="402">
        <f t="shared" si="54"/>
        <v>0</v>
      </c>
      <c r="BD54" s="402">
        <f t="shared" si="54"/>
        <v>3180</v>
      </c>
      <c r="BE54" s="402">
        <f t="shared" si="54"/>
        <v>0</v>
      </c>
      <c r="BF54" s="402">
        <f t="shared" si="54"/>
        <v>0</v>
      </c>
      <c r="BG54" s="402">
        <f>SUM(BG55:BG66)</f>
        <v>0</v>
      </c>
      <c r="BH54" s="402">
        <f>SUM(BH55:BH66)</f>
        <v>106830.8</v>
      </c>
      <c r="BI54" s="402">
        <f t="shared" si="54"/>
        <v>0</v>
      </c>
      <c r="BJ54" s="402">
        <f t="shared" si="54"/>
        <v>7360</v>
      </c>
      <c r="BK54" s="402">
        <f t="shared" si="54"/>
        <v>0</v>
      </c>
      <c r="BL54" s="402">
        <f t="shared" si="54"/>
        <v>0</v>
      </c>
      <c r="BM54" s="402">
        <f t="shared" si="54"/>
        <v>0</v>
      </c>
      <c r="BN54" s="402">
        <f>SUM(BN55:BN66)</f>
        <v>114190.8</v>
      </c>
      <c r="BO54" s="402">
        <f t="shared" si="54"/>
        <v>0</v>
      </c>
      <c r="BP54" s="402">
        <f t="shared" si="54"/>
        <v>349.4</v>
      </c>
      <c r="BQ54" s="402">
        <f t="shared" si="54"/>
        <v>0</v>
      </c>
      <c r="BR54" s="402">
        <f t="shared" si="54"/>
        <v>0</v>
      </c>
      <c r="BS54" s="402">
        <f t="shared" si="54"/>
        <v>0</v>
      </c>
      <c r="BT54" s="402">
        <f t="shared" si="54"/>
        <v>114540.2</v>
      </c>
      <c r="BU54" s="402">
        <f aca="true" t="shared" si="55" ref="BU54:CC54">SUM(BU55:BU66)</f>
        <v>0</v>
      </c>
      <c r="BV54" s="402">
        <f>SUM(BV55:BV66)</f>
        <v>3950</v>
      </c>
      <c r="BW54" s="402">
        <f t="shared" si="55"/>
        <v>0</v>
      </c>
      <c r="BX54" s="402">
        <f t="shared" si="55"/>
        <v>0</v>
      </c>
      <c r="BY54" s="402">
        <f t="shared" si="55"/>
        <v>0</v>
      </c>
      <c r="BZ54" s="402">
        <f t="shared" si="55"/>
        <v>118490.2</v>
      </c>
      <c r="CA54" s="402">
        <f>SUM(CA55:CA66)</f>
        <v>36884.4</v>
      </c>
      <c r="CB54" s="402">
        <f t="shared" si="55"/>
        <v>0</v>
      </c>
      <c r="CC54" s="402">
        <f t="shared" si="55"/>
        <v>0</v>
      </c>
      <c r="CD54" s="402">
        <f>SUM(CD55:CD66)</f>
        <v>81605.8</v>
      </c>
      <c r="CE54" s="404"/>
      <c r="CF54" s="404"/>
    </row>
    <row r="55" spans="1:82" ht="15.75">
      <c r="A55" s="40"/>
      <c r="B55" s="41"/>
      <c r="C55" s="41" t="s">
        <v>98</v>
      </c>
      <c r="D55" s="41"/>
      <c r="E55" s="42"/>
      <c r="F55" s="42"/>
      <c r="G55" s="42"/>
      <c r="H55" s="42"/>
      <c r="I55" s="42"/>
      <c r="J55" s="42"/>
      <c r="K55" s="42"/>
      <c r="L55" s="15">
        <f aca="true" t="shared" si="56" ref="L55:L66">SUM(F55-G55+H55-I55+J55)</f>
        <v>0</v>
      </c>
      <c r="M55" s="42"/>
      <c r="N55" s="42"/>
      <c r="O55" s="42"/>
      <c r="P55" s="42"/>
      <c r="Q55" s="42"/>
      <c r="R55" s="15">
        <f aca="true" t="shared" si="57" ref="R55:R66">SUM(L55-M55+N55-O55+P55)</f>
        <v>0</v>
      </c>
      <c r="S55" s="42"/>
      <c r="T55" s="42"/>
      <c r="U55" s="42"/>
      <c r="V55" s="42"/>
      <c r="W55" s="42"/>
      <c r="X55" s="15">
        <f aca="true" t="shared" si="58" ref="X55:X66">SUM(R55-S55+T55-U55+V55)</f>
        <v>0</v>
      </c>
      <c r="Y55" s="42"/>
      <c r="Z55" s="42"/>
      <c r="AA55" s="42"/>
      <c r="AB55" s="42"/>
      <c r="AC55" s="42"/>
      <c r="AD55" s="42">
        <f aca="true" t="shared" si="59" ref="AD55:AD66">SUM(X55-Y55+Z55-AA55+AB55)</f>
        <v>0</v>
      </c>
      <c r="AE55" s="526"/>
      <c r="AF55" s="42">
        <v>19.4</v>
      </c>
      <c r="AG55" s="42"/>
      <c r="AH55" s="42"/>
      <c r="AI55" s="42"/>
      <c r="AJ55" s="42">
        <f aca="true" t="shared" si="60" ref="AJ55:AJ66">SUM(AD55-AE55+AF55-AG55+AH55)</f>
        <v>19.4</v>
      </c>
      <c r="AK55" s="42"/>
      <c r="AL55" s="42">
        <v>19.4</v>
      </c>
      <c r="AM55" s="42"/>
      <c r="AN55" s="42"/>
      <c r="AO55" s="42"/>
      <c r="AP55" s="42">
        <f aca="true" t="shared" si="61" ref="AP55:AP66">SUM(AJ55-AK55+AL55-AM55+AN55)</f>
        <v>38.8</v>
      </c>
      <c r="AQ55" s="42"/>
      <c r="AR55" s="42"/>
      <c r="AS55" s="42"/>
      <c r="AT55" s="42"/>
      <c r="AU55" s="42"/>
      <c r="AV55" s="42">
        <f aca="true" t="shared" si="62" ref="AV55:AV66">SUM(AP55-AQ55+AR55-AS55+AT55)</f>
        <v>38.8</v>
      </c>
      <c r="AW55" s="42"/>
      <c r="AX55" s="42">
        <v>0</v>
      </c>
      <c r="AY55" s="42"/>
      <c r="AZ55" s="42"/>
      <c r="BA55" s="42"/>
      <c r="BB55" s="42">
        <f aca="true" t="shared" si="63" ref="BB55:BB66">SUM(AV55-AW55+AX55-AY55+AZ55)</f>
        <v>38.8</v>
      </c>
      <c r="BC55" s="42"/>
      <c r="BD55" s="42">
        <v>0</v>
      </c>
      <c r="BE55" s="42"/>
      <c r="BF55" s="42"/>
      <c r="BG55" s="42"/>
      <c r="BH55" s="42">
        <f>SUM(BB55-BC55+BD55-BE55+BF55)</f>
        <v>38.8</v>
      </c>
      <c r="BI55" s="42"/>
      <c r="BJ55" s="42"/>
      <c r="BK55" s="42"/>
      <c r="BL55" s="42"/>
      <c r="BM55" s="42"/>
      <c r="BN55" s="42">
        <f aca="true" t="shared" si="64" ref="BN55:BN66">SUM(BH55-BI55+BJ55-BK55+BL55)</f>
        <v>38.8</v>
      </c>
      <c r="BO55" s="42"/>
      <c r="BP55" s="42">
        <v>19.4</v>
      </c>
      <c r="BQ55" s="42"/>
      <c r="BR55" s="42"/>
      <c r="BS55" s="42"/>
      <c r="BT55" s="42">
        <f aca="true" t="shared" si="65" ref="BT55:BT66">SUM(BN55-BO55+BP55-BQ55+BR55)</f>
        <v>58.199999999999996</v>
      </c>
      <c r="BU55" s="42"/>
      <c r="BV55" s="42"/>
      <c r="BW55" s="42"/>
      <c r="BX55" s="42"/>
      <c r="BY55" s="42"/>
      <c r="BZ55" s="42">
        <f aca="true" t="shared" si="66" ref="BZ55:BZ66">SUM(BT55-BU55+BV55-BW55+BX55)</f>
        <v>58.199999999999996</v>
      </c>
      <c r="CA55" s="42">
        <v>19.4</v>
      </c>
      <c r="CB55" s="42"/>
      <c r="CC55" s="42"/>
      <c r="CD55" s="15">
        <f>+BZ55+CB55-CA55</f>
        <v>38.8</v>
      </c>
    </row>
    <row r="56" spans="1:82" ht="15.75">
      <c r="A56" s="410"/>
      <c r="B56" s="92"/>
      <c r="C56" s="92" t="s">
        <v>574</v>
      </c>
      <c r="D56" s="92"/>
      <c r="E56" s="334"/>
      <c r="F56" s="334"/>
      <c r="G56" s="334"/>
      <c r="H56" s="334">
        <v>11440</v>
      </c>
      <c r="I56" s="334"/>
      <c r="J56" s="334"/>
      <c r="K56" s="334"/>
      <c r="L56" s="45">
        <f t="shared" si="56"/>
        <v>11440</v>
      </c>
      <c r="M56" s="334"/>
      <c r="N56" s="334">
        <v>10120</v>
      </c>
      <c r="O56" s="334"/>
      <c r="P56" s="334"/>
      <c r="Q56" s="334"/>
      <c r="R56" s="45">
        <f t="shared" si="57"/>
        <v>21560</v>
      </c>
      <c r="S56" s="334"/>
      <c r="T56" s="334">
        <v>16220</v>
      </c>
      <c r="U56" s="334"/>
      <c r="V56" s="334"/>
      <c r="W56" s="334"/>
      <c r="X56" s="45">
        <f t="shared" si="58"/>
        <v>37780</v>
      </c>
      <c r="Y56" s="334"/>
      <c r="Z56" s="334">
        <v>13580</v>
      </c>
      <c r="AA56" s="334"/>
      <c r="AB56" s="334"/>
      <c r="AC56" s="334"/>
      <c r="AD56" s="42">
        <f t="shared" si="59"/>
        <v>51360</v>
      </c>
      <c r="AE56" s="532"/>
      <c r="AF56" s="334">
        <v>18000</v>
      </c>
      <c r="AG56" s="334"/>
      <c r="AH56" s="334"/>
      <c r="AI56" s="334"/>
      <c r="AJ56" s="334">
        <f t="shared" si="60"/>
        <v>69360</v>
      </c>
      <c r="AK56" s="334"/>
      <c r="AL56" s="334">
        <v>10940</v>
      </c>
      <c r="AM56" s="334"/>
      <c r="AN56" s="334"/>
      <c r="AO56" s="334"/>
      <c r="AP56" s="334">
        <f t="shared" si="61"/>
        <v>80300</v>
      </c>
      <c r="AQ56" s="334"/>
      <c r="AR56" s="334"/>
      <c r="AS56" s="334"/>
      <c r="AT56" s="334"/>
      <c r="AU56" s="334"/>
      <c r="AV56" s="334">
        <f t="shared" si="62"/>
        <v>80300</v>
      </c>
      <c r="AW56" s="334"/>
      <c r="AX56" s="334"/>
      <c r="AY56" s="334"/>
      <c r="AZ56" s="334"/>
      <c r="BA56" s="334"/>
      <c r="BB56" s="334"/>
      <c r="BC56" s="334"/>
      <c r="BD56" s="334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334"/>
      <c r="BQ56" s="334"/>
      <c r="BR56" s="334"/>
      <c r="BS56" s="334"/>
      <c r="BT56" s="334"/>
      <c r="BU56" s="334"/>
      <c r="BV56" s="334"/>
      <c r="BW56" s="334"/>
      <c r="BX56" s="334"/>
      <c r="BY56" s="334"/>
      <c r="BZ56" s="334"/>
      <c r="CA56" s="334"/>
      <c r="CB56" s="334"/>
      <c r="CC56" s="334"/>
      <c r="CD56" s="18"/>
    </row>
    <row r="57" spans="1:82" ht="15.75">
      <c r="A57" s="43"/>
      <c r="B57" s="44"/>
      <c r="C57" s="44" t="s">
        <v>460</v>
      </c>
      <c r="D57" s="44"/>
      <c r="E57" s="45"/>
      <c r="F57" s="45"/>
      <c r="G57" s="45"/>
      <c r="H57" s="45">
        <v>0</v>
      </c>
      <c r="I57" s="45"/>
      <c r="J57" s="45"/>
      <c r="K57" s="45"/>
      <c r="L57" s="45">
        <f t="shared" si="56"/>
        <v>0</v>
      </c>
      <c r="M57" s="45"/>
      <c r="N57" s="45"/>
      <c r="O57" s="45"/>
      <c r="P57" s="45"/>
      <c r="Q57" s="45"/>
      <c r="R57" s="45">
        <f t="shared" si="57"/>
        <v>0</v>
      </c>
      <c r="S57" s="45"/>
      <c r="T57" s="45">
        <v>0</v>
      </c>
      <c r="U57" s="45"/>
      <c r="V57" s="45"/>
      <c r="W57" s="45"/>
      <c r="X57" s="45">
        <f t="shared" si="58"/>
        <v>0</v>
      </c>
      <c r="Y57" s="45"/>
      <c r="Z57" s="45"/>
      <c r="AA57" s="45"/>
      <c r="AB57" s="45"/>
      <c r="AC57" s="45"/>
      <c r="AD57" s="42">
        <f t="shared" si="59"/>
        <v>0</v>
      </c>
      <c r="AE57" s="527"/>
      <c r="AF57" s="527">
        <v>0</v>
      </c>
      <c r="AG57" s="45"/>
      <c r="AH57" s="45"/>
      <c r="AI57" s="45"/>
      <c r="AJ57" s="45">
        <f t="shared" si="60"/>
        <v>0</v>
      </c>
      <c r="AK57" s="45"/>
      <c r="AL57" s="45">
        <v>0</v>
      </c>
      <c r="AM57" s="45"/>
      <c r="AN57" s="45"/>
      <c r="AO57" s="45"/>
      <c r="AP57" s="45">
        <f t="shared" si="61"/>
        <v>0</v>
      </c>
      <c r="AQ57" s="45"/>
      <c r="AR57" s="45"/>
      <c r="AS57" s="45"/>
      <c r="AT57" s="45"/>
      <c r="AU57" s="45"/>
      <c r="AV57" s="45">
        <f t="shared" si="62"/>
        <v>0</v>
      </c>
      <c r="AW57" s="45"/>
      <c r="AX57" s="45">
        <v>0</v>
      </c>
      <c r="AY57" s="45"/>
      <c r="AZ57" s="45"/>
      <c r="BA57" s="45"/>
      <c r="BB57" s="45">
        <f t="shared" si="63"/>
        <v>0</v>
      </c>
      <c r="BC57" s="45"/>
      <c r="BD57" s="45">
        <v>0</v>
      </c>
      <c r="BE57" s="45"/>
      <c r="BF57" s="45"/>
      <c r="BG57" s="45"/>
      <c r="BH57" s="45">
        <f>SUM(BB57-BC57+BD57-BE57+BF57)</f>
        <v>0</v>
      </c>
      <c r="BI57" s="45"/>
      <c r="BJ57" s="45">
        <v>150</v>
      </c>
      <c r="BK57" s="45"/>
      <c r="BL57" s="45"/>
      <c r="BM57" s="45"/>
      <c r="BN57" s="45">
        <f t="shared" si="64"/>
        <v>150</v>
      </c>
      <c r="BO57" s="45"/>
      <c r="BP57" s="45">
        <v>0</v>
      </c>
      <c r="BQ57" s="45"/>
      <c r="BR57" s="45"/>
      <c r="BS57" s="45"/>
      <c r="BT57" s="45">
        <f t="shared" si="65"/>
        <v>150</v>
      </c>
      <c r="BU57" s="45"/>
      <c r="BV57" s="45">
        <v>250</v>
      </c>
      <c r="BW57" s="45"/>
      <c r="BX57" s="45"/>
      <c r="BY57" s="45"/>
      <c r="BZ57" s="45">
        <f t="shared" si="66"/>
        <v>400</v>
      </c>
      <c r="CA57" s="45">
        <v>400</v>
      </c>
      <c r="CB57" s="45"/>
      <c r="CC57" s="45"/>
      <c r="CD57" s="45">
        <f aca="true" t="shared" si="67" ref="CD57:CD66">+BZ57+CB57-CA57</f>
        <v>0</v>
      </c>
    </row>
    <row r="58" spans="1:82" ht="15.75">
      <c r="A58" s="43"/>
      <c r="B58" s="44"/>
      <c r="C58" s="44" t="s">
        <v>99</v>
      </c>
      <c r="D58" s="44"/>
      <c r="E58" s="45"/>
      <c r="F58" s="45"/>
      <c r="G58" s="45"/>
      <c r="H58" s="45">
        <v>200</v>
      </c>
      <c r="I58" s="45"/>
      <c r="J58" s="45"/>
      <c r="K58" s="45"/>
      <c r="L58" s="45">
        <f t="shared" si="56"/>
        <v>200</v>
      </c>
      <c r="M58" s="45"/>
      <c r="N58" s="45">
        <v>230</v>
      </c>
      <c r="O58" s="45"/>
      <c r="P58" s="45"/>
      <c r="Q58" s="45"/>
      <c r="R58" s="45">
        <f t="shared" si="57"/>
        <v>430</v>
      </c>
      <c r="S58" s="45"/>
      <c r="T58" s="45">
        <v>160</v>
      </c>
      <c r="U58" s="45"/>
      <c r="V58" s="45"/>
      <c r="W58" s="45"/>
      <c r="X58" s="45">
        <f t="shared" si="58"/>
        <v>590</v>
      </c>
      <c r="Y58" s="45"/>
      <c r="Z58" s="45">
        <v>120</v>
      </c>
      <c r="AA58" s="45"/>
      <c r="AB58" s="45"/>
      <c r="AC58" s="45"/>
      <c r="AD58" s="45">
        <f t="shared" si="59"/>
        <v>710</v>
      </c>
      <c r="AE58" s="527"/>
      <c r="AF58" s="45">
        <v>230</v>
      </c>
      <c r="AG58" s="45"/>
      <c r="AH58" s="45"/>
      <c r="AI58" s="45"/>
      <c r="AJ58" s="45">
        <f t="shared" si="60"/>
        <v>940</v>
      </c>
      <c r="AK58" s="45"/>
      <c r="AL58" s="45">
        <v>320</v>
      </c>
      <c r="AM58" s="45"/>
      <c r="AN58" s="45"/>
      <c r="AO58" s="45"/>
      <c r="AP58" s="45">
        <f t="shared" si="61"/>
        <v>1260</v>
      </c>
      <c r="AQ58" s="45"/>
      <c r="AR58" s="45"/>
      <c r="AS58" s="45"/>
      <c r="AT58" s="45"/>
      <c r="AU58" s="45"/>
      <c r="AV58" s="45">
        <f t="shared" si="62"/>
        <v>1260</v>
      </c>
      <c r="AW58" s="45"/>
      <c r="AX58" s="45">
        <v>350</v>
      </c>
      <c r="AY58" s="45"/>
      <c r="AZ58" s="45"/>
      <c r="BA58" s="45"/>
      <c r="BB58" s="45">
        <f t="shared" si="63"/>
        <v>1610</v>
      </c>
      <c r="BC58" s="45"/>
      <c r="BD58" s="45">
        <v>260</v>
      </c>
      <c r="BE58" s="45"/>
      <c r="BF58" s="45"/>
      <c r="BG58" s="45"/>
      <c r="BH58" s="45">
        <f>SUM(BB58-BC58+BD58-BE58+BF58)</f>
        <v>1870</v>
      </c>
      <c r="BI58" s="45"/>
      <c r="BJ58" s="45">
        <v>380</v>
      </c>
      <c r="BK58" s="45"/>
      <c r="BL58" s="45"/>
      <c r="BM58" s="45"/>
      <c r="BN58" s="45">
        <f t="shared" si="64"/>
        <v>2250</v>
      </c>
      <c r="BO58" s="45"/>
      <c r="BP58" s="45">
        <v>230</v>
      </c>
      <c r="BQ58" s="45"/>
      <c r="BR58" s="45"/>
      <c r="BS58" s="45"/>
      <c r="BT58" s="45">
        <f t="shared" si="65"/>
        <v>2480</v>
      </c>
      <c r="BU58" s="45"/>
      <c r="BV58" s="45">
        <v>600</v>
      </c>
      <c r="BW58" s="45"/>
      <c r="BX58" s="45"/>
      <c r="BY58" s="45"/>
      <c r="BZ58" s="45">
        <f t="shared" si="66"/>
        <v>3080</v>
      </c>
      <c r="CA58" s="45">
        <v>3770</v>
      </c>
      <c r="CB58" s="45"/>
      <c r="CC58" s="45"/>
      <c r="CD58" s="45">
        <f t="shared" si="67"/>
        <v>-690</v>
      </c>
    </row>
    <row r="59" spans="1:82" ht="15.75">
      <c r="A59" s="43"/>
      <c r="B59" s="44"/>
      <c r="C59" s="44" t="s">
        <v>575</v>
      </c>
      <c r="D59" s="44"/>
      <c r="E59" s="45"/>
      <c r="F59" s="45"/>
      <c r="G59" s="45"/>
      <c r="H59" s="45">
        <v>100</v>
      </c>
      <c r="I59" s="45"/>
      <c r="J59" s="45"/>
      <c r="K59" s="45"/>
      <c r="L59" s="45">
        <f t="shared" si="56"/>
        <v>100</v>
      </c>
      <c r="M59" s="45"/>
      <c r="N59" s="45">
        <v>100</v>
      </c>
      <c r="O59" s="45"/>
      <c r="P59" s="45"/>
      <c r="Q59" s="45"/>
      <c r="R59" s="45">
        <f t="shared" si="57"/>
        <v>200</v>
      </c>
      <c r="S59" s="45"/>
      <c r="T59" s="45">
        <v>20</v>
      </c>
      <c r="U59" s="45"/>
      <c r="V59" s="45"/>
      <c r="W59" s="45"/>
      <c r="X59" s="45">
        <f t="shared" si="58"/>
        <v>220</v>
      </c>
      <c r="Y59" s="45"/>
      <c r="Z59" s="45">
        <v>20</v>
      </c>
      <c r="AA59" s="45"/>
      <c r="AB59" s="45"/>
      <c r="AC59" s="45"/>
      <c r="AD59" s="45">
        <f t="shared" si="59"/>
        <v>240</v>
      </c>
      <c r="AE59" s="527"/>
      <c r="AF59" s="45">
        <v>170</v>
      </c>
      <c r="AG59" s="45"/>
      <c r="AH59" s="45"/>
      <c r="AI59" s="45"/>
      <c r="AJ59" s="45">
        <f t="shared" si="60"/>
        <v>410</v>
      </c>
      <c r="AK59" s="45"/>
      <c r="AL59" s="45">
        <v>50</v>
      </c>
      <c r="AM59" s="45"/>
      <c r="AN59" s="45"/>
      <c r="AO59" s="45"/>
      <c r="AP59" s="45">
        <f t="shared" si="61"/>
        <v>460</v>
      </c>
      <c r="AQ59" s="45"/>
      <c r="AR59" s="45"/>
      <c r="AS59" s="45"/>
      <c r="AT59" s="45"/>
      <c r="AU59" s="45"/>
      <c r="AV59" s="45">
        <f t="shared" si="62"/>
        <v>460</v>
      </c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</row>
    <row r="60" spans="1:82" ht="15.75">
      <c r="A60" s="43"/>
      <c r="B60" s="44"/>
      <c r="C60" s="44" t="s">
        <v>61</v>
      </c>
      <c r="D60" s="44"/>
      <c r="E60" s="45"/>
      <c r="F60" s="45"/>
      <c r="G60" s="45"/>
      <c r="H60" s="45">
        <v>40</v>
      </c>
      <c r="I60" s="45"/>
      <c r="J60" s="45"/>
      <c r="K60" s="45"/>
      <c r="L60" s="45">
        <f t="shared" si="56"/>
        <v>40</v>
      </c>
      <c r="M60" s="45"/>
      <c r="N60" s="45">
        <v>40</v>
      </c>
      <c r="O60" s="45"/>
      <c r="P60" s="45"/>
      <c r="Q60" s="45"/>
      <c r="R60" s="45">
        <f t="shared" si="57"/>
        <v>80</v>
      </c>
      <c r="S60" s="45"/>
      <c r="T60" s="45">
        <v>20</v>
      </c>
      <c r="U60" s="45"/>
      <c r="V60" s="45"/>
      <c r="W60" s="45"/>
      <c r="X60" s="45">
        <f t="shared" si="58"/>
        <v>100</v>
      </c>
      <c r="Y60" s="45"/>
      <c r="Z60" s="45">
        <v>20</v>
      </c>
      <c r="AA60" s="45"/>
      <c r="AB60" s="45"/>
      <c r="AC60" s="45"/>
      <c r="AD60" s="45">
        <f t="shared" si="59"/>
        <v>120</v>
      </c>
      <c r="AE60" s="527"/>
      <c r="AF60" s="45">
        <v>160</v>
      </c>
      <c r="AG60" s="45"/>
      <c r="AH60" s="45"/>
      <c r="AI60" s="45"/>
      <c r="AJ60" s="45">
        <f t="shared" si="60"/>
        <v>280</v>
      </c>
      <c r="AK60" s="45"/>
      <c r="AL60" s="45">
        <v>800</v>
      </c>
      <c r="AM60" s="45"/>
      <c r="AN60" s="45"/>
      <c r="AO60" s="45"/>
      <c r="AP60" s="45">
        <f t="shared" si="61"/>
        <v>1080</v>
      </c>
      <c r="AQ60" s="45"/>
      <c r="AR60" s="45"/>
      <c r="AS60" s="45"/>
      <c r="AT60" s="45"/>
      <c r="AU60" s="45"/>
      <c r="AV60" s="45">
        <f t="shared" si="62"/>
        <v>1080</v>
      </c>
      <c r="AW60" s="45"/>
      <c r="AX60" s="45">
        <v>60</v>
      </c>
      <c r="AY60" s="45"/>
      <c r="AZ60" s="45"/>
      <c r="BA60" s="45"/>
      <c r="BB60" s="45">
        <f t="shared" si="63"/>
        <v>1140</v>
      </c>
      <c r="BC60" s="45"/>
      <c r="BD60" s="45">
        <v>20</v>
      </c>
      <c r="BE60" s="45"/>
      <c r="BF60" s="45"/>
      <c r="BG60" s="45"/>
      <c r="BH60" s="45">
        <f aca="true" t="shared" si="68" ref="BH60:BH66">SUM(BB60-BC60+BD60-BE60+BF60)</f>
        <v>1160</v>
      </c>
      <c r="BI60" s="45"/>
      <c r="BJ60" s="45">
        <v>100</v>
      </c>
      <c r="BK60" s="45"/>
      <c r="BL60" s="45"/>
      <c r="BM60" s="45"/>
      <c r="BN60" s="45">
        <f t="shared" si="64"/>
        <v>1260</v>
      </c>
      <c r="BO60" s="45"/>
      <c r="BP60" s="45">
        <v>100</v>
      </c>
      <c r="BQ60" s="45"/>
      <c r="BR60" s="45"/>
      <c r="BS60" s="45"/>
      <c r="BT60" s="45">
        <f t="shared" si="65"/>
        <v>1360</v>
      </c>
      <c r="BU60" s="45"/>
      <c r="BV60" s="45"/>
      <c r="BW60" s="45"/>
      <c r="BX60" s="45"/>
      <c r="BY60" s="45"/>
      <c r="BZ60" s="45">
        <f t="shared" si="66"/>
        <v>1360</v>
      </c>
      <c r="CA60" s="45">
        <v>880</v>
      </c>
      <c r="CB60" s="45"/>
      <c r="CC60" s="45"/>
      <c r="CD60" s="45">
        <f t="shared" si="67"/>
        <v>480</v>
      </c>
    </row>
    <row r="61" spans="1:82" ht="15.75">
      <c r="A61" s="43"/>
      <c r="B61" s="44"/>
      <c r="C61" s="44" t="s">
        <v>62</v>
      </c>
      <c r="D61" s="44"/>
      <c r="E61" s="45"/>
      <c r="F61" s="45"/>
      <c r="G61" s="45"/>
      <c r="H61" s="45"/>
      <c r="I61" s="45"/>
      <c r="J61" s="45"/>
      <c r="K61" s="45"/>
      <c r="L61" s="45">
        <f t="shared" si="56"/>
        <v>0</v>
      </c>
      <c r="M61" s="45"/>
      <c r="N61" s="45"/>
      <c r="O61" s="45"/>
      <c r="P61" s="45"/>
      <c r="Q61" s="45"/>
      <c r="R61" s="45">
        <f t="shared" si="57"/>
        <v>0</v>
      </c>
      <c r="S61" s="45"/>
      <c r="T61" s="45">
        <v>0</v>
      </c>
      <c r="U61" s="45"/>
      <c r="V61" s="45"/>
      <c r="W61" s="45"/>
      <c r="X61" s="45">
        <f t="shared" si="58"/>
        <v>0</v>
      </c>
      <c r="Y61" s="45"/>
      <c r="Z61" s="45"/>
      <c r="AA61" s="45"/>
      <c r="AB61" s="45"/>
      <c r="AC61" s="45"/>
      <c r="AD61" s="45">
        <f t="shared" si="59"/>
        <v>0</v>
      </c>
      <c r="AE61" s="527"/>
      <c r="AF61" s="527"/>
      <c r="AG61" s="45"/>
      <c r="AH61" s="45"/>
      <c r="AI61" s="45"/>
      <c r="AJ61" s="45">
        <f t="shared" si="60"/>
        <v>0</v>
      </c>
      <c r="AK61" s="45"/>
      <c r="AL61" s="45">
        <v>0</v>
      </c>
      <c r="AM61" s="45"/>
      <c r="AN61" s="45"/>
      <c r="AO61" s="45"/>
      <c r="AP61" s="45">
        <f t="shared" si="61"/>
        <v>0</v>
      </c>
      <c r="AQ61" s="45"/>
      <c r="AR61" s="45"/>
      <c r="AS61" s="45"/>
      <c r="AT61" s="45"/>
      <c r="AU61" s="45"/>
      <c r="AV61" s="45">
        <f t="shared" si="62"/>
        <v>0</v>
      </c>
      <c r="AW61" s="45"/>
      <c r="AX61" s="45">
        <v>0</v>
      </c>
      <c r="AY61" s="45"/>
      <c r="AZ61" s="45"/>
      <c r="BA61" s="45"/>
      <c r="BB61" s="45">
        <f t="shared" si="63"/>
        <v>0</v>
      </c>
      <c r="BC61" s="45"/>
      <c r="BD61" s="45">
        <v>400</v>
      </c>
      <c r="BE61" s="45"/>
      <c r="BF61" s="45"/>
      <c r="BG61" s="45"/>
      <c r="BH61" s="45">
        <f t="shared" si="68"/>
        <v>400</v>
      </c>
      <c r="BI61" s="45"/>
      <c r="BJ61" s="45">
        <v>0</v>
      </c>
      <c r="BK61" s="45"/>
      <c r="BL61" s="45"/>
      <c r="BM61" s="45"/>
      <c r="BN61" s="45">
        <f t="shared" si="64"/>
        <v>400</v>
      </c>
      <c r="BO61" s="45"/>
      <c r="BP61" s="45">
        <v>0</v>
      </c>
      <c r="BQ61" s="45"/>
      <c r="BR61" s="45"/>
      <c r="BS61" s="45"/>
      <c r="BT61" s="45">
        <f t="shared" si="65"/>
        <v>400</v>
      </c>
      <c r="BU61" s="45"/>
      <c r="BV61" s="45"/>
      <c r="BW61" s="45"/>
      <c r="BX61" s="45"/>
      <c r="BY61" s="45"/>
      <c r="BZ61" s="45">
        <f t="shared" si="66"/>
        <v>400</v>
      </c>
      <c r="CA61" s="45">
        <v>400</v>
      </c>
      <c r="CB61" s="45"/>
      <c r="CC61" s="45"/>
      <c r="CD61" s="45">
        <f t="shared" si="67"/>
        <v>0</v>
      </c>
    </row>
    <row r="62" spans="1:82" ht="15.75">
      <c r="A62" s="43"/>
      <c r="B62" s="44"/>
      <c r="C62" s="44" t="s">
        <v>25</v>
      </c>
      <c r="D62" s="44"/>
      <c r="E62" s="45"/>
      <c r="F62" s="45"/>
      <c r="G62" s="45"/>
      <c r="H62" s="45"/>
      <c r="I62" s="45"/>
      <c r="J62" s="45"/>
      <c r="K62" s="45"/>
      <c r="L62" s="45">
        <f t="shared" si="56"/>
        <v>0</v>
      </c>
      <c r="M62" s="45"/>
      <c r="N62" s="45"/>
      <c r="O62" s="45"/>
      <c r="P62" s="45"/>
      <c r="Q62" s="45"/>
      <c r="R62" s="45">
        <f t="shared" si="57"/>
        <v>0</v>
      </c>
      <c r="S62" s="45"/>
      <c r="T62" s="45">
        <v>0</v>
      </c>
      <c r="U62" s="45"/>
      <c r="V62" s="45"/>
      <c r="W62" s="45"/>
      <c r="X62" s="45">
        <f t="shared" si="58"/>
        <v>0</v>
      </c>
      <c r="Y62" s="45"/>
      <c r="Z62" s="45"/>
      <c r="AA62" s="45"/>
      <c r="AB62" s="45"/>
      <c r="AC62" s="45"/>
      <c r="AD62" s="45">
        <f t="shared" si="59"/>
        <v>0</v>
      </c>
      <c r="AE62" s="527"/>
      <c r="AF62" s="110"/>
      <c r="AG62" s="45"/>
      <c r="AH62" s="45"/>
      <c r="AI62" s="45"/>
      <c r="AJ62" s="45">
        <f t="shared" si="60"/>
        <v>0</v>
      </c>
      <c r="AK62" s="45"/>
      <c r="AL62" s="45">
        <v>96162</v>
      </c>
      <c r="AM62" s="45"/>
      <c r="AN62" s="45"/>
      <c r="AO62" s="45"/>
      <c r="AP62" s="45">
        <f t="shared" si="61"/>
        <v>96162</v>
      </c>
      <c r="AQ62" s="45"/>
      <c r="AR62" s="45"/>
      <c r="AS62" s="45"/>
      <c r="AT62" s="45"/>
      <c r="AU62" s="45"/>
      <c r="AV62" s="45">
        <f t="shared" si="62"/>
        <v>96162</v>
      </c>
      <c r="AW62" s="45"/>
      <c r="AX62" s="45">
        <v>0</v>
      </c>
      <c r="AY62" s="45"/>
      <c r="AZ62" s="45"/>
      <c r="BA62" s="45"/>
      <c r="BB62" s="45">
        <f t="shared" si="63"/>
        <v>96162</v>
      </c>
      <c r="BC62" s="45"/>
      <c r="BD62" s="45">
        <v>0</v>
      </c>
      <c r="BE62" s="45"/>
      <c r="BF62" s="45"/>
      <c r="BG62" s="45"/>
      <c r="BH62" s="45">
        <f t="shared" si="68"/>
        <v>96162</v>
      </c>
      <c r="BI62" s="45"/>
      <c r="BJ62" s="45">
        <v>4730</v>
      </c>
      <c r="BK62" s="45"/>
      <c r="BL62" s="45"/>
      <c r="BM62" s="45"/>
      <c r="BN62" s="45">
        <f t="shared" si="64"/>
        <v>100892</v>
      </c>
      <c r="BO62" s="45"/>
      <c r="BP62" s="45">
        <v>0</v>
      </c>
      <c r="BQ62" s="45"/>
      <c r="BR62" s="45"/>
      <c r="BS62" s="45"/>
      <c r="BT62" s="45">
        <f>SUM(BN62-BO62+BP62-BQ62+BR62)</f>
        <v>100892</v>
      </c>
      <c r="BU62" s="45"/>
      <c r="BV62" s="45">
        <v>3100</v>
      </c>
      <c r="BW62" s="45"/>
      <c r="BX62" s="45"/>
      <c r="BY62" s="45"/>
      <c r="BZ62" s="45">
        <f t="shared" si="66"/>
        <v>103992</v>
      </c>
      <c r="CA62" s="45">
        <v>12665</v>
      </c>
      <c r="CB62" s="45"/>
      <c r="CC62" s="45"/>
      <c r="CD62" s="45">
        <f t="shared" si="67"/>
        <v>91327</v>
      </c>
    </row>
    <row r="63" spans="1:82" ht="15.75">
      <c r="A63" s="43"/>
      <c r="B63" s="44"/>
      <c r="C63" s="44" t="s">
        <v>462</v>
      </c>
      <c r="D63" s="44"/>
      <c r="E63" s="45"/>
      <c r="F63" s="45"/>
      <c r="G63" s="45"/>
      <c r="H63" s="45"/>
      <c r="I63" s="45"/>
      <c r="J63" s="45"/>
      <c r="K63" s="45"/>
      <c r="L63" s="45">
        <f t="shared" si="56"/>
        <v>0</v>
      </c>
      <c r="M63" s="45"/>
      <c r="N63" s="45"/>
      <c r="O63" s="45"/>
      <c r="P63" s="45"/>
      <c r="Q63" s="45"/>
      <c r="R63" s="45">
        <f t="shared" si="57"/>
        <v>0</v>
      </c>
      <c r="S63" s="45"/>
      <c r="T63" s="45">
        <v>0</v>
      </c>
      <c r="U63" s="45"/>
      <c r="V63" s="45"/>
      <c r="W63" s="45"/>
      <c r="X63" s="45">
        <f t="shared" si="58"/>
        <v>0</v>
      </c>
      <c r="Y63" s="45"/>
      <c r="Z63" s="45">
        <v>200</v>
      </c>
      <c r="AA63" s="45"/>
      <c r="AB63" s="45"/>
      <c r="AC63" s="45"/>
      <c r="AD63" s="45">
        <f t="shared" si="59"/>
        <v>200</v>
      </c>
      <c r="AE63" s="527"/>
      <c r="AF63" s="527"/>
      <c r="AG63" s="45"/>
      <c r="AH63" s="45"/>
      <c r="AI63" s="45"/>
      <c r="AJ63" s="45">
        <f t="shared" si="60"/>
        <v>200</v>
      </c>
      <c r="AK63" s="45"/>
      <c r="AL63" s="45">
        <v>900</v>
      </c>
      <c r="AM63" s="45"/>
      <c r="AN63" s="45"/>
      <c r="AO63" s="45"/>
      <c r="AP63" s="45">
        <f t="shared" si="61"/>
        <v>1100</v>
      </c>
      <c r="AQ63" s="45"/>
      <c r="AR63" s="45"/>
      <c r="AS63" s="45"/>
      <c r="AT63" s="45"/>
      <c r="AU63" s="45"/>
      <c r="AV63" s="45">
        <f t="shared" si="62"/>
        <v>1100</v>
      </c>
      <c r="AW63" s="45"/>
      <c r="AX63" s="45">
        <v>1000</v>
      </c>
      <c r="AY63" s="45"/>
      <c r="AZ63" s="45"/>
      <c r="BA63" s="45"/>
      <c r="BB63" s="45">
        <f t="shared" si="63"/>
        <v>2100</v>
      </c>
      <c r="BC63" s="45"/>
      <c r="BD63" s="45">
        <v>2500</v>
      </c>
      <c r="BE63" s="45"/>
      <c r="BF63" s="45"/>
      <c r="BG63" s="45"/>
      <c r="BH63" s="45">
        <f t="shared" si="68"/>
        <v>4600</v>
      </c>
      <c r="BI63" s="45"/>
      <c r="BJ63" s="45">
        <v>2000</v>
      </c>
      <c r="BK63" s="45"/>
      <c r="BL63" s="45"/>
      <c r="BM63" s="45"/>
      <c r="BN63" s="45">
        <f t="shared" si="64"/>
        <v>6600</v>
      </c>
      <c r="BO63" s="45"/>
      <c r="BP63" s="45"/>
      <c r="BQ63" s="45"/>
      <c r="BR63" s="45"/>
      <c r="BS63" s="45"/>
      <c r="BT63" s="45">
        <f t="shared" si="65"/>
        <v>6600</v>
      </c>
      <c r="BU63" s="45"/>
      <c r="BV63" s="45"/>
      <c r="BW63" s="45"/>
      <c r="BX63" s="45"/>
      <c r="BY63" s="45"/>
      <c r="BZ63" s="45">
        <f t="shared" si="66"/>
        <v>6600</v>
      </c>
      <c r="CA63" s="45">
        <v>15400</v>
      </c>
      <c r="CB63" s="45"/>
      <c r="CC63" s="45"/>
      <c r="CD63" s="45">
        <f t="shared" si="67"/>
        <v>-8800</v>
      </c>
    </row>
    <row r="64" spans="1:82" ht="15.75">
      <c r="A64" s="43"/>
      <c r="B64" s="44"/>
      <c r="C64" s="44" t="s">
        <v>576</v>
      </c>
      <c r="D64" s="44"/>
      <c r="E64" s="45"/>
      <c r="F64" s="45"/>
      <c r="G64" s="45"/>
      <c r="H64" s="45"/>
      <c r="I64" s="45"/>
      <c r="J64" s="45"/>
      <c r="K64" s="45"/>
      <c r="L64" s="45">
        <f t="shared" si="56"/>
        <v>0</v>
      </c>
      <c r="M64" s="45"/>
      <c r="N64" s="45"/>
      <c r="O64" s="45"/>
      <c r="P64" s="45"/>
      <c r="Q64" s="45"/>
      <c r="R64" s="45">
        <f t="shared" si="57"/>
        <v>0</v>
      </c>
      <c r="S64" s="45"/>
      <c r="T64" s="45">
        <v>0</v>
      </c>
      <c r="U64" s="45"/>
      <c r="V64" s="45"/>
      <c r="W64" s="45"/>
      <c r="X64" s="45">
        <f t="shared" si="58"/>
        <v>0</v>
      </c>
      <c r="Y64" s="45"/>
      <c r="Z64" s="45"/>
      <c r="AA64" s="45"/>
      <c r="AB64" s="45"/>
      <c r="AC64" s="45"/>
      <c r="AD64" s="45">
        <f t="shared" si="59"/>
        <v>0</v>
      </c>
      <c r="AE64" s="527"/>
      <c r="AF64" s="527"/>
      <c r="AG64" s="45"/>
      <c r="AH64" s="45"/>
      <c r="AI64" s="45"/>
      <c r="AJ64" s="45">
        <f t="shared" si="60"/>
        <v>0</v>
      </c>
      <c r="AK64" s="45"/>
      <c r="AL64" s="45">
        <v>0</v>
      </c>
      <c r="AM64" s="45"/>
      <c r="AN64" s="45"/>
      <c r="AO64" s="45"/>
      <c r="AP64" s="45">
        <f t="shared" si="61"/>
        <v>0</v>
      </c>
      <c r="AQ64" s="45"/>
      <c r="AR64" s="45"/>
      <c r="AS64" s="45"/>
      <c r="AT64" s="45"/>
      <c r="AU64" s="45"/>
      <c r="AV64" s="45">
        <f t="shared" si="62"/>
        <v>0</v>
      </c>
      <c r="AW64" s="45"/>
      <c r="AX64" s="45">
        <v>0</v>
      </c>
      <c r="AY64" s="45"/>
      <c r="AZ64" s="45"/>
      <c r="BA64" s="45"/>
      <c r="BB64" s="45">
        <f t="shared" si="63"/>
        <v>0</v>
      </c>
      <c r="BC64" s="45"/>
      <c r="BD64" s="45">
        <v>0</v>
      </c>
      <c r="BE64" s="45"/>
      <c r="BF64" s="45"/>
      <c r="BG64" s="45"/>
      <c r="BH64" s="45">
        <f t="shared" si="68"/>
        <v>0</v>
      </c>
      <c r="BI64" s="45"/>
      <c r="BJ64" s="45">
        <v>0</v>
      </c>
      <c r="BK64" s="45"/>
      <c r="BL64" s="45"/>
      <c r="BM64" s="45"/>
      <c r="BN64" s="45">
        <f t="shared" si="64"/>
        <v>0</v>
      </c>
      <c r="BO64" s="45"/>
      <c r="BP64" s="45"/>
      <c r="BQ64" s="45"/>
      <c r="BR64" s="45"/>
      <c r="BS64" s="45"/>
      <c r="BT64" s="45">
        <f t="shared" si="65"/>
        <v>0</v>
      </c>
      <c r="BU64" s="45"/>
      <c r="BV64" s="45"/>
      <c r="BW64" s="45"/>
      <c r="BX64" s="45"/>
      <c r="BY64" s="45"/>
      <c r="BZ64" s="45">
        <f t="shared" si="66"/>
        <v>0</v>
      </c>
      <c r="CA64" s="45">
        <v>150</v>
      </c>
      <c r="CB64" s="45"/>
      <c r="CC64" s="45"/>
      <c r="CD64" s="45">
        <f t="shared" si="67"/>
        <v>-150</v>
      </c>
    </row>
    <row r="65" spans="1:82" ht="15.75">
      <c r="A65" s="43"/>
      <c r="B65" s="44"/>
      <c r="C65" s="44" t="s">
        <v>577</v>
      </c>
      <c r="D65" s="44"/>
      <c r="E65" s="45"/>
      <c r="F65" s="45"/>
      <c r="G65" s="45"/>
      <c r="H65" s="45"/>
      <c r="I65" s="45"/>
      <c r="J65" s="45"/>
      <c r="K65" s="45"/>
      <c r="L65" s="45">
        <f t="shared" si="56"/>
        <v>0</v>
      </c>
      <c r="M65" s="45"/>
      <c r="N65" s="45"/>
      <c r="O65" s="45"/>
      <c r="P65" s="45"/>
      <c r="Q65" s="45"/>
      <c r="R65" s="45">
        <f t="shared" si="57"/>
        <v>0</v>
      </c>
      <c r="S65" s="45"/>
      <c r="T65" s="45">
        <v>0</v>
      </c>
      <c r="U65" s="45"/>
      <c r="V65" s="45"/>
      <c r="W65" s="45"/>
      <c r="X65" s="45">
        <f t="shared" si="58"/>
        <v>0</v>
      </c>
      <c r="Y65" s="45"/>
      <c r="Z65" s="45"/>
      <c r="AA65" s="45"/>
      <c r="AB65" s="45"/>
      <c r="AC65" s="45"/>
      <c r="AD65" s="45">
        <f t="shared" si="59"/>
        <v>0</v>
      </c>
      <c r="AE65" s="527"/>
      <c r="AF65" s="527"/>
      <c r="AG65" s="45"/>
      <c r="AH65" s="45"/>
      <c r="AI65" s="45"/>
      <c r="AJ65" s="45">
        <f t="shared" si="60"/>
        <v>0</v>
      </c>
      <c r="AK65" s="45"/>
      <c r="AL65" s="45">
        <v>2000</v>
      </c>
      <c r="AM65" s="45"/>
      <c r="AN65" s="45"/>
      <c r="AO65" s="45"/>
      <c r="AP65" s="45">
        <f t="shared" si="61"/>
        <v>2000</v>
      </c>
      <c r="AQ65" s="45"/>
      <c r="AR65" s="45"/>
      <c r="AS65" s="45"/>
      <c r="AT65" s="45"/>
      <c r="AU65" s="45"/>
      <c r="AV65" s="45">
        <f t="shared" si="62"/>
        <v>2000</v>
      </c>
      <c r="AW65" s="45"/>
      <c r="AX65" s="45">
        <v>600</v>
      </c>
      <c r="AY65" s="45"/>
      <c r="AZ65" s="45"/>
      <c r="BA65" s="45"/>
      <c r="BB65" s="45">
        <f t="shared" si="63"/>
        <v>2600</v>
      </c>
      <c r="BC65" s="45"/>
      <c r="BD65" s="45">
        <v>0</v>
      </c>
      <c r="BE65" s="45"/>
      <c r="BF65" s="45"/>
      <c r="BG65" s="45"/>
      <c r="BH65" s="45">
        <f t="shared" si="68"/>
        <v>2600</v>
      </c>
      <c r="BI65" s="45"/>
      <c r="BJ65" s="45">
        <v>0</v>
      </c>
      <c r="BK65" s="45"/>
      <c r="BL65" s="45"/>
      <c r="BM65" s="45"/>
      <c r="BN65" s="45">
        <f t="shared" si="64"/>
        <v>2600</v>
      </c>
      <c r="BO65" s="45"/>
      <c r="BP65" s="45"/>
      <c r="BQ65" s="45"/>
      <c r="BR65" s="45"/>
      <c r="BS65" s="45"/>
      <c r="BT65" s="45">
        <f t="shared" si="65"/>
        <v>2600</v>
      </c>
      <c r="BU65" s="45"/>
      <c r="BV65" s="45"/>
      <c r="BW65" s="45"/>
      <c r="BX65" s="45"/>
      <c r="BY65" s="45"/>
      <c r="BZ65" s="45">
        <f t="shared" si="66"/>
        <v>2600</v>
      </c>
      <c r="CA65" s="45">
        <v>3200</v>
      </c>
      <c r="CB65" s="45"/>
      <c r="CC65" s="45"/>
      <c r="CD65" s="45">
        <f t="shared" si="67"/>
        <v>-600</v>
      </c>
    </row>
    <row r="66" spans="1:82" ht="15.75">
      <c r="A66" s="46"/>
      <c r="B66" s="47"/>
      <c r="C66" s="47" t="s">
        <v>578</v>
      </c>
      <c r="D66" s="47"/>
      <c r="E66" s="48"/>
      <c r="F66" s="48"/>
      <c r="G66" s="48"/>
      <c r="H66" s="48"/>
      <c r="I66" s="48"/>
      <c r="J66" s="48"/>
      <c r="K66" s="48"/>
      <c r="L66" s="45">
        <f t="shared" si="56"/>
        <v>0</v>
      </c>
      <c r="M66" s="48"/>
      <c r="N66" s="48"/>
      <c r="O66" s="48"/>
      <c r="P66" s="48"/>
      <c r="Q66" s="48"/>
      <c r="R66" s="48">
        <f t="shared" si="57"/>
        <v>0</v>
      </c>
      <c r="S66" s="48"/>
      <c r="T66" s="48">
        <v>0</v>
      </c>
      <c r="U66" s="48"/>
      <c r="V66" s="48"/>
      <c r="W66" s="48"/>
      <c r="X66" s="48">
        <f t="shared" si="58"/>
        <v>0</v>
      </c>
      <c r="Y66" s="48"/>
      <c r="Z66" s="48"/>
      <c r="AA66" s="48"/>
      <c r="AB66" s="48"/>
      <c r="AC66" s="48"/>
      <c r="AD66" s="48">
        <f t="shared" si="59"/>
        <v>0</v>
      </c>
      <c r="AE66" s="528"/>
      <c r="AF66" s="528"/>
      <c r="AG66" s="48"/>
      <c r="AH66" s="48"/>
      <c r="AI66" s="48"/>
      <c r="AJ66" s="48">
        <f t="shared" si="60"/>
        <v>0</v>
      </c>
      <c r="AK66" s="48"/>
      <c r="AL66" s="48">
        <v>0</v>
      </c>
      <c r="AM66" s="48"/>
      <c r="AN66" s="48"/>
      <c r="AO66" s="48"/>
      <c r="AP66" s="48">
        <f t="shared" si="61"/>
        <v>0</v>
      </c>
      <c r="AQ66" s="48"/>
      <c r="AR66" s="48"/>
      <c r="AS66" s="48"/>
      <c r="AT66" s="48"/>
      <c r="AU66" s="48"/>
      <c r="AV66" s="48">
        <f t="shared" si="62"/>
        <v>0</v>
      </c>
      <c r="AW66" s="48"/>
      <c r="AX66" s="48">
        <v>0</v>
      </c>
      <c r="AY66" s="48"/>
      <c r="AZ66" s="48"/>
      <c r="BA66" s="48"/>
      <c r="BB66" s="48">
        <f t="shared" si="63"/>
        <v>0</v>
      </c>
      <c r="BC66" s="48"/>
      <c r="BD66" s="48"/>
      <c r="BE66" s="48"/>
      <c r="BF66" s="48"/>
      <c r="BG66" s="48"/>
      <c r="BH66" s="48">
        <f t="shared" si="68"/>
        <v>0</v>
      </c>
      <c r="BI66" s="48"/>
      <c r="BJ66" s="48"/>
      <c r="BK66" s="48"/>
      <c r="BL66" s="48"/>
      <c r="BM66" s="48"/>
      <c r="BN66" s="48">
        <f t="shared" si="64"/>
        <v>0</v>
      </c>
      <c r="BO66" s="48"/>
      <c r="BP66" s="48"/>
      <c r="BQ66" s="48"/>
      <c r="BR66" s="48"/>
      <c r="BS66" s="48"/>
      <c r="BT66" s="48">
        <f t="shared" si="65"/>
        <v>0</v>
      </c>
      <c r="BU66" s="48"/>
      <c r="BV66" s="48"/>
      <c r="BW66" s="48"/>
      <c r="BX66" s="48"/>
      <c r="BY66" s="48"/>
      <c r="BZ66" s="45">
        <f t="shared" si="66"/>
        <v>0</v>
      </c>
      <c r="CA66" s="48">
        <v>0</v>
      </c>
      <c r="CB66" s="48"/>
      <c r="CC66" s="48"/>
      <c r="CD66" s="334">
        <f t="shared" si="67"/>
        <v>0</v>
      </c>
    </row>
    <row r="67" spans="1:84" s="405" customFormat="1" ht="15.75">
      <c r="A67" s="400"/>
      <c r="B67" s="401" t="s">
        <v>101</v>
      </c>
      <c r="C67" s="401"/>
      <c r="D67" s="401"/>
      <c r="E67" s="402">
        <f aca="true" t="shared" si="69" ref="E67:N67">SUM(E68:E70)</f>
        <v>0</v>
      </c>
      <c r="F67" s="402">
        <f t="shared" si="69"/>
        <v>0</v>
      </c>
      <c r="G67" s="402">
        <f t="shared" si="69"/>
        <v>0</v>
      </c>
      <c r="H67" s="402">
        <f t="shared" si="69"/>
        <v>0</v>
      </c>
      <c r="I67" s="402">
        <f t="shared" si="69"/>
        <v>0</v>
      </c>
      <c r="J67" s="402">
        <f t="shared" si="69"/>
        <v>0</v>
      </c>
      <c r="K67" s="402">
        <f t="shared" si="69"/>
        <v>0</v>
      </c>
      <c r="L67" s="398">
        <f>SUM(L68:L70)</f>
        <v>0</v>
      </c>
      <c r="M67" s="402">
        <f t="shared" si="69"/>
        <v>0</v>
      </c>
      <c r="N67" s="402">
        <f t="shared" si="69"/>
        <v>0</v>
      </c>
      <c r="O67" s="402"/>
      <c r="P67" s="402"/>
      <c r="Q67" s="402">
        <f>SUM(Q68:Q70)</f>
        <v>0</v>
      </c>
      <c r="R67" s="402">
        <f>SUM(R68:R70)</f>
        <v>0</v>
      </c>
      <c r="S67" s="402">
        <f>SUM(S68:S70)</f>
        <v>0</v>
      </c>
      <c r="T67" s="402">
        <f>SUM(T68:T70)</f>
        <v>114354.21</v>
      </c>
      <c r="U67" s="402"/>
      <c r="V67" s="402"/>
      <c r="W67" s="402">
        <f>SUM(W68:W70)</f>
        <v>0</v>
      </c>
      <c r="X67" s="402">
        <f>SUM(X68:X70)</f>
        <v>114354.21</v>
      </c>
      <c r="Y67" s="402">
        <f>SUM(Y68:Y70)</f>
        <v>0</v>
      </c>
      <c r="Z67" s="402">
        <f>SUM(Z68:Z70)</f>
        <v>0</v>
      </c>
      <c r="AA67" s="402"/>
      <c r="AB67" s="402"/>
      <c r="AC67" s="402">
        <f>SUM(AC68:AC70)</f>
        <v>0</v>
      </c>
      <c r="AD67" s="402">
        <f>SUM(AD68:AD70)</f>
        <v>114354.21</v>
      </c>
      <c r="AE67" s="531">
        <f>SUM(AE68:AE70)</f>
        <v>0</v>
      </c>
      <c r="AF67" s="531">
        <f>SUM(AF68:AF70)</f>
        <v>0</v>
      </c>
      <c r="AG67" s="402"/>
      <c r="AH67" s="402"/>
      <c r="AI67" s="402">
        <f>SUM(AI68:AI70)</f>
        <v>0</v>
      </c>
      <c r="AJ67" s="402">
        <f>SUM(AJ68:AJ70)</f>
        <v>114354.21</v>
      </c>
      <c r="AK67" s="402">
        <f>SUM(AK68:AK70)</f>
        <v>0</v>
      </c>
      <c r="AL67" s="402">
        <f>SUM(AL68:AL70)</f>
        <v>27198.27</v>
      </c>
      <c r="AM67" s="403"/>
      <c r="AN67" s="403"/>
      <c r="AO67" s="402">
        <f>SUM(AO68:AO70)</f>
        <v>0</v>
      </c>
      <c r="AP67" s="402">
        <f>SUM(AP68:AP70)</f>
        <v>141552.48</v>
      </c>
      <c r="AQ67" s="402">
        <f>SUM(AQ68:AQ70)</f>
        <v>0</v>
      </c>
      <c r="AR67" s="402">
        <f>SUM(AR68:AR70)</f>
        <v>0</v>
      </c>
      <c r="AS67" s="402"/>
      <c r="AT67" s="402"/>
      <c r="AU67" s="402">
        <f aca="true" t="shared" si="70" ref="AU67:BD67">SUM(AU68:AU70)</f>
        <v>0</v>
      </c>
      <c r="AV67" s="402">
        <f t="shared" si="70"/>
        <v>141552.48</v>
      </c>
      <c r="AW67" s="402">
        <f t="shared" si="70"/>
        <v>0</v>
      </c>
      <c r="AX67" s="402">
        <f t="shared" si="70"/>
        <v>0</v>
      </c>
      <c r="AY67" s="402">
        <f t="shared" si="70"/>
        <v>0</v>
      </c>
      <c r="AZ67" s="402">
        <f t="shared" si="70"/>
        <v>0</v>
      </c>
      <c r="BA67" s="402">
        <f t="shared" si="70"/>
        <v>0</v>
      </c>
      <c r="BB67" s="402">
        <f t="shared" si="70"/>
        <v>141552.48</v>
      </c>
      <c r="BC67" s="402">
        <f t="shared" si="70"/>
        <v>0</v>
      </c>
      <c r="BD67" s="402">
        <f t="shared" si="70"/>
        <v>0</v>
      </c>
      <c r="BE67" s="402"/>
      <c r="BF67" s="402"/>
      <c r="BG67" s="402">
        <f>SUM(BG68:BG70)</f>
        <v>0</v>
      </c>
      <c r="BH67" s="402">
        <f>SUM(BH68:BH70)</f>
        <v>141552.48</v>
      </c>
      <c r="BI67" s="402">
        <f>SUM(BI68:BI70)</f>
        <v>0</v>
      </c>
      <c r="BJ67" s="402">
        <f>SUM(BJ68:BJ70)</f>
        <v>92446.44</v>
      </c>
      <c r="BK67" s="402"/>
      <c r="BL67" s="402"/>
      <c r="BM67" s="402">
        <f>SUM(BM68:BM70)</f>
        <v>0</v>
      </c>
      <c r="BN67" s="402">
        <f>SUM(BN68:BN70)</f>
        <v>233998.92</v>
      </c>
      <c r="BO67" s="402">
        <f>SUM(BO68:BO70)</f>
        <v>0</v>
      </c>
      <c r="BP67" s="402">
        <f>SUM(BP68:BP70)</f>
        <v>12200.26</v>
      </c>
      <c r="BQ67" s="402"/>
      <c r="BR67" s="402"/>
      <c r="BS67" s="402">
        <f>SUM(BS68:BS70)</f>
        <v>0</v>
      </c>
      <c r="BT67" s="402">
        <f>SUM(BT68:BT70)</f>
        <v>246199.18000000002</v>
      </c>
      <c r="BU67" s="402">
        <f>SUM(BU68:BU70)</f>
        <v>0</v>
      </c>
      <c r="BV67" s="402">
        <f>SUM(BV68:BV70)</f>
        <v>35406.63</v>
      </c>
      <c r="BW67" s="402"/>
      <c r="BX67" s="402"/>
      <c r="BY67" s="402">
        <f>SUM(BY68:BY70)</f>
        <v>0</v>
      </c>
      <c r="BZ67" s="402">
        <f>SUM(BZ68:BZ70)</f>
        <v>281605.81</v>
      </c>
      <c r="CA67" s="402">
        <f>SUM(CA68:CA70)</f>
        <v>418963.65</v>
      </c>
      <c r="CB67" s="402">
        <f>SUM(CB68:CB70)</f>
        <v>0</v>
      </c>
      <c r="CC67" s="402">
        <f>SUM(CC68:CC70)</f>
        <v>0</v>
      </c>
      <c r="CD67" s="402">
        <f>SUM(CD68:CD70)</f>
        <v>-137357.84000000003</v>
      </c>
      <c r="CE67" s="404"/>
      <c r="CF67" s="404"/>
    </row>
    <row r="68" spans="1:82" ht="15.75">
      <c r="A68" s="40"/>
      <c r="B68" s="41"/>
      <c r="C68" s="41" t="s">
        <v>102</v>
      </c>
      <c r="D68" s="41"/>
      <c r="E68" s="42"/>
      <c r="F68" s="42"/>
      <c r="G68" s="42"/>
      <c r="H68" s="42"/>
      <c r="I68" s="42"/>
      <c r="J68" s="42"/>
      <c r="K68" s="42"/>
      <c r="L68" s="42">
        <f>SUM(F68-G68+H68-I68+J68)</f>
        <v>0</v>
      </c>
      <c r="M68" s="42"/>
      <c r="N68" s="42"/>
      <c r="O68" s="42"/>
      <c r="P68" s="42"/>
      <c r="Q68" s="42"/>
      <c r="R68" s="42">
        <f>SUM(L68-M68+N68-O68+P68)</f>
        <v>0</v>
      </c>
      <c r="S68" s="42"/>
      <c r="T68" s="42">
        <v>0</v>
      </c>
      <c r="U68" s="42"/>
      <c r="V68" s="42"/>
      <c r="W68" s="42"/>
      <c r="X68" s="42">
        <f>SUM(R68-S68+T68-U68+V68)</f>
        <v>0</v>
      </c>
      <c r="Y68" s="42"/>
      <c r="Z68" s="42"/>
      <c r="AA68" s="42"/>
      <c r="AB68" s="42"/>
      <c r="AC68" s="42"/>
      <c r="AD68" s="42">
        <f>SUM(X68-Y68+Z68-AA68+AB68)</f>
        <v>0</v>
      </c>
      <c r="AE68" s="526"/>
      <c r="AF68" s="526"/>
      <c r="AG68" s="42"/>
      <c r="AH68" s="42"/>
      <c r="AI68" s="42"/>
      <c r="AJ68" s="42">
        <f>SUM(AD68-AE68+AF68-AG68+AH68)</f>
        <v>0</v>
      </c>
      <c r="AK68" s="42"/>
      <c r="AL68" s="42">
        <v>0</v>
      </c>
      <c r="AM68" s="42"/>
      <c r="AN68" s="42"/>
      <c r="AO68" s="42"/>
      <c r="AP68" s="42">
        <f>SUM(AJ68-AK68+AL68-AM68+AN68)</f>
        <v>0</v>
      </c>
      <c r="AQ68" s="42"/>
      <c r="AR68" s="42"/>
      <c r="AS68" s="42"/>
      <c r="AT68" s="42"/>
      <c r="AU68" s="42"/>
      <c r="AV68" s="42">
        <f>SUM(AP68-AQ68+AR68-AS68+AT68)</f>
        <v>0</v>
      </c>
      <c r="AW68" s="42"/>
      <c r="AX68" s="42">
        <v>0</v>
      </c>
      <c r="AY68" s="42"/>
      <c r="AZ68" s="42"/>
      <c r="BA68" s="42"/>
      <c r="BB68" s="42">
        <f>SUM(AV68-AW68+AX68-AY68+AZ68)</f>
        <v>0</v>
      </c>
      <c r="BC68" s="42"/>
      <c r="BD68" s="42"/>
      <c r="BE68" s="42"/>
      <c r="BF68" s="42"/>
      <c r="BG68" s="42"/>
      <c r="BH68" s="42">
        <f>SUM(BB68-BC68+BD68-BE68+BF68)</f>
        <v>0</v>
      </c>
      <c r="BI68" s="42"/>
      <c r="BJ68" s="42">
        <v>0</v>
      </c>
      <c r="BK68" s="42"/>
      <c r="BL68" s="42"/>
      <c r="BM68" s="42"/>
      <c r="BN68" s="42">
        <f>SUM(BH68-BI68+BJ68-BK68+BL68)</f>
        <v>0</v>
      </c>
      <c r="BO68" s="42"/>
      <c r="BP68" s="42"/>
      <c r="BQ68" s="42"/>
      <c r="BR68" s="42"/>
      <c r="BS68" s="42"/>
      <c r="BT68" s="42">
        <f>SUM(BN68-BO68+BP68-BQ68+BR68)</f>
        <v>0</v>
      </c>
      <c r="BU68" s="42"/>
      <c r="BV68" s="42"/>
      <c r="BW68" s="42"/>
      <c r="BX68" s="42"/>
      <c r="BY68" s="42"/>
      <c r="BZ68" s="42">
        <f>SUM(BT68-BU68+BV68-BW68+BX68)</f>
        <v>0</v>
      </c>
      <c r="CA68" s="42">
        <v>0</v>
      </c>
      <c r="CB68" s="42"/>
      <c r="CC68" s="42"/>
      <c r="CD68" s="15">
        <f>+BZ68+CB68-CA68</f>
        <v>0</v>
      </c>
    </row>
    <row r="69" spans="1:82" ht="15.75">
      <c r="A69" s="43"/>
      <c r="B69" s="44"/>
      <c r="C69" s="44" t="s">
        <v>63</v>
      </c>
      <c r="D69" s="44"/>
      <c r="E69" s="45"/>
      <c r="F69" s="45"/>
      <c r="G69" s="45"/>
      <c r="H69" s="45"/>
      <c r="I69" s="45"/>
      <c r="J69" s="45"/>
      <c r="K69" s="45"/>
      <c r="L69" s="45">
        <f>SUM(F69-G69+H69-I69+J69)</f>
        <v>0</v>
      </c>
      <c r="M69" s="45"/>
      <c r="N69" s="45"/>
      <c r="O69" s="45"/>
      <c r="P69" s="45"/>
      <c r="Q69" s="45"/>
      <c r="R69" s="45">
        <f>SUM(L69-M69+N69-O69+P69)</f>
        <v>0</v>
      </c>
      <c r="S69" s="45"/>
      <c r="T69" s="45">
        <v>114354.21</v>
      </c>
      <c r="U69" s="45"/>
      <c r="V69" s="45"/>
      <c r="W69" s="45"/>
      <c r="X69" s="45">
        <f>SUM(R69-S69+T69-U69+V69)</f>
        <v>114354.21</v>
      </c>
      <c r="Y69" s="45"/>
      <c r="Z69" s="45"/>
      <c r="AA69" s="45"/>
      <c r="AB69" s="45"/>
      <c r="AC69" s="45"/>
      <c r="AD69" s="45">
        <f>SUM(X69-Y69+Z69-AA69+AB69)</f>
        <v>114354.21</v>
      </c>
      <c r="AE69" s="527"/>
      <c r="AF69" s="527"/>
      <c r="AG69" s="45"/>
      <c r="AH69" s="45"/>
      <c r="AI69" s="45"/>
      <c r="AJ69" s="45">
        <f>SUM(AD69-AE69+AF69-AG69+AH69)</f>
        <v>114354.21</v>
      </c>
      <c r="AK69" s="45"/>
      <c r="AL69" s="45">
        <v>27198.27</v>
      </c>
      <c r="AM69" s="45"/>
      <c r="AN69" s="45"/>
      <c r="AO69" s="45"/>
      <c r="AP69" s="45">
        <f>SUM(AJ69-AK69+AL69-AM69+AN69)</f>
        <v>141552.48</v>
      </c>
      <c r="AQ69" s="45"/>
      <c r="AR69" s="45"/>
      <c r="AS69" s="45"/>
      <c r="AT69" s="45"/>
      <c r="AU69" s="45"/>
      <c r="AV69" s="45">
        <f>SUM(AP69-AQ69+AR69-AS69+AT69)</f>
        <v>141552.48</v>
      </c>
      <c r="AW69" s="45"/>
      <c r="AX69" s="45">
        <v>0</v>
      </c>
      <c r="AY69" s="45"/>
      <c r="AZ69" s="45"/>
      <c r="BA69" s="45"/>
      <c r="BB69" s="45">
        <f>SUM(AV69-AW69+AX69-AY69+AZ69)</f>
        <v>141552.48</v>
      </c>
      <c r="BC69" s="45"/>
      <c r="BD69" s="45">
        <v>0</v>
      </c>
      <c r="BE69" s="45"/>
      <c r="BF69" s="45"/>
      <c r="BG69" s="45"/>
      <c r="BH69" s="45">
        <f>SUM(BB69-BC69+BD69-BE69+BF69)</f>
        <v>141552.48</v>
      </c>
      <c r="BI69" s="45"/>
      <c r="BJ69" s="45">
        <v>92446.44</v>
      </c>
      <c r="BK69" s="45"/>
      <c r="BL69" s="45"/>
      <c r="BM69" s="45"/>
      <c r="BN69" s="45">
        <f>SUM(BH69-BI69+BJ69-BK69+BL69)</f>
        <v>233998.92</v>
      </c>
      <c r="BO69" s="45"/>
      <c r="BP69" s="45"/>
      <c r="BQ69" s="45"/>
      <c r="BR69" s="45"/>
      <c r="BS69" s="45"/>
      <c r="BT69" s="45">
        <f>SUM(BN69-BO69+BP69-BQ69+BR69)</f>
        <v>233998.92</v>
      </c>
      <c r="BU69" s="45"/>
      <c r="BV69" s="45">
        <v>35406.63</v>
      </c>
      <c r="BW69" s="45"/>
      <c r="BX69" s="45"/>
      <c r="BY69" s="45"/>
      <c r="BZ69" s="45">
        <f>SUM(BT69-BU69+BV69-BW69+BX69)</f>
        <v>269405.55</v>
      </c>
      <c r="CA69" s="45">
        <v>406763.39</v>
      </c>
      <c r="CB69" s="45"/>
      <c r="CC69" s="45"/>
      <c r="CD69" s="45">
        <f>+BZ69+CB69-CA69</f>
        <v>-137357.84000000003</v>
      </c>
    </row>
    <row r="70" spans="1:82" ht="15.75">
      <c r="A70" s="46"/>
      <c r="B70" s="47"/>
      <c r="C70" s="47" t="s">
        <v>103</v>
      </c>
      <c r="D70" s="47"/>
      <c r="E70" s="48"/>
      <c r="F70" s="48"/>
      <c r="G70" s="48"/>
      <c r="H70" s="48"/>
      <c r="I70" s="48"/>
      <c r="J70" s="48"/>
      <c r="K70" s="48"/>
      <c r="L70" s="45">
        <f>SUM(F70-G70+H70-I70+J70)</f>
        <v>0</v>
      </c>
      <c r="M70" s="48"/>
      <c r="N70" s="48"/>
      <c r="O70" s="48"/>
      <c r="P70" s="48"/>
      <c r="Q70" s="48"/>
      <c r="R70" s="45">
        <f>SUM(L70-M70+N70-O70+P70)</f>
        <v>0</v>
      </c>
      <c r="S70" s="48"/>
      <c r="T70" s="48">
        <v>0</v>
      </c>
      <c r="U70" s="48"/>
      <c r="V70" s="48"/>
      <c r="W70" s="48"/>
      <c r="X70" s="45">
        <f>SUM(R70-S70+T70-U70+V70)</f>
        <v>0</v>
      </c>
      <c r="Y70" s="48"/>
      <c r="Z70" s="48"/>
      <c r="AA70" s="48"/>
      <c r="AB70" s="48"/>
      <c r="AC70" s="48"/>
      <c r="AD70" s="45">
        <f>SUM(X70-Y70+Z70-AA70+AB70)</f>
        <v>0</v>
      </c>
      <c r="AE70" s="528"/>
      <c r="AF70" s="528"/>
      <c r="AG70" s="48"/>
      <c r="AH70" s="48"/>
      <c r="AI70" s="48"/>
      <c r="AJ70" s="45">
        <f>SUM(AD70-AE70+AF70-AG70+AH70)</f>
        <v>0</v>
      </c>
      <c r="AK70" s="48"/>
      <c r="AL70" s="48">
        <v>0</v>
      </c>
      <c r="AM70" s="48"/>
      <c r="AN70" s="48"/>
      <c r="AO70" s="48"/>
      <c r="AP70" s="45">
        <f>SUM(AJ70-AK70+AL70-AM70+AN70)</f>
        <v>0</v>
      </c>
      <c r="AQ70" s="48"/>
      <c r="AR70" s="48">
        <v>0</v>
      </c>
      <c r="AS70" s="48"/>
      <c r="AT70" s="48"/>
      <c r="AU70" s="48"/>
      <c r="AV70" s="45">
        <f>SUM(AP70-AQ70+AR70-AS70+AT70)</f>
        <v>0</v>
      </c>
      <c r="AW70" s="48"/>
      <c r="AX70" s="48">
        <v>0</v>
      </c>
      <c r="AY70" s="48"/>
      <c r="AZ70" s="48"/>
      <c r="BA70" s="48"/>
      <c r="BB70" s="45">
        <f>SUM(AV70-AW70+AX70-AY70+AZ70)</f>
        <v>0</v>
      </c>
      <c r="BC70" s="48"/>
      <c r="BD70" s="48">
        <v>0</v>
      </c>
      <c r="BE70" s="48"/>
      <c r="BF70" s="48"/>
      <c r="BG70" s="48"/>
      <c r="BH70" s="45">
        <f>SUM(BB70-BC70+BD70-BE70+BF70)</f>
        <v>0</v>
      </c>
      <c r="BI70" s="48"/>
      <c r="BJ70" s="48"/>
      <c r="BK70" s="48"/>
      <c r="BL70" s="48"/>
      <c r="BM70" s="48"/>
      <c r="BN70" s="45">
        <f>SUM(BH70-BI70+BJ70-BK70+BL70)</f>
        <v>0</v>
      </c>
      <c r="BO70" s="48"/>
      <c r="BP70" s="48">
        <v>12200.26</v>
      </c>
      <c r="BQ70" s="48"/>
      <c r="BR70" s="48"/>
      <c r="BS70" s="48"/>
      <c r="BT70" s="45">
        <f>SUM(BN70-BO70+BP70-BQ70+BR70)</f>
        <v>12200.26</v>
      </c>
      <c r="BU70" s="48"/>
      <c r="BV70" s="48"/>
      <c r="BW70" s="48"/>
      <c r="BX70" s="48"/>
      <c r="BY70" s="48"/>
      <c r="BZ70" s="45">
        <f>SUM(BT70-BU70+BV70-BW70+BX70)</f>
        <v>12200.26</v>
      </c>
      <c r="CA70" s="48">
        <v>12200.26</v>
      </c>
      <c r="CB70" s="48"/>
      <c r="CC70" s="48"/>
      <c r="CD70" s="334">
        <f>+BZ70+CB70-CA70</f>
        <v>0</v>
      </c>
    </row>
    <row r="71" spans="1:84" s="405" customFormat="1" ht="15.75">
      <c r="A71" s="400"/>
      <c r="B71" s="401" t="s">
        <v>104</v>
      </c>
      <c r="C71" s="401"/>
      <c r="D71" s="401"/>
      <c r="E71" s="402">
        <f aca="true" t="shared" si="71" ref="E71:N71">SUM(E72)</f>
        <v>0</v>
      </c>
      <c r="F71" s="402">
        <f t="shared" si="71"/>
        <v>0</v>
      </c>
      <c r="G71" s="402">
        <f t="shared" si="71"/>
        <v>0</v>
      </c>
      <c r="H71" s="402">
        <f t="shared" si="71"/>
        <v>12005</v>
      </c>
      <c r="I71" s="402">
        <f t="shared" si="71"/>
        <v>0</v>
      </c>
      <c r="J71" s="402">
        <f t="shared" si="71"/>
        <v>0</v>
      </c>
      <c r="K71" s="402">
        <f t="shared" si="71"/>
        <v>0</v>
      </c>
      <c r="L71" s="402">
        <f>SUM(L72)</f>
        <v>12005</v>
      </c>
      <c r="M71" s="402">
        <f t="shared" si="71"/>
        <v>0</v>
      </c>
      <c r="N71" s="402">
        <f t="shared" si="71"/>
        <v>34960</v>
      </c>
      <c r="O71" s="402"/>
      <c r="P71" s="402"/>
      <c r="Q71" s="402">
        <f>SUM(Q72)</f>
        <v>0</v>
      </c>
      <c r="R71" s="402">
        <f>SUM(R72)</f>
        <v>46965</v>
      </c>
      <c r="S71" s="402">
        <f>SUM(S72)</f>
        <v>0</v>
      </c>
      <c r="T71" s="402">
        <f>SUM(T72)</f>
        <v>15260</v>
      </c>
      <c r="U71" s="402"/>
      <c r="V71" s="402"/>
      <c r="W71" s="402">
        <f>SUM(W72)</f>
        <v>0</v>
      </c>
      <c r="X71" s="402">
        <f>SUM(X72)</f>
        <v>62225</v>
      </c>
      <c r="Y71" s="402">
        <f>SUM(Y72)</f>
        <v>0</v>
      </c>
      <c r="Z71" s="402">
        <f>SUM(Z72)</f>
        <v>14575</v>
      </c>
      <c r="AA71" s="402"/>
      <c r="AB71" s="402"/>
      <c r="AC71" s="402">
        <f>SUM(AC72)</f>
        <v>0</v>
      </c>
      <c r="AD71" s="402">
        <f>SUM(AD72)</f>
        <v>76800</v>
      </c>
      <c r="AE71" s="531">
        <f>SUM(AE72)</f>
        <v>0</v>
      </c>
      <c r="AF71" s="402">
        <f>SUM(AF72)</f>
        <v>10530</v>
      </c>
      <c r="AG71" s="402"/>
      <c r="AH71" s="402"/>
      <c r="AI71" s="402">
        <f>SUM(AI72)</f>
        <v>0</v>
      </c>
      <c r="AJ71" s="402">
        <f>SUM(AJ72)</f>
        <v>87330</v>
      </c>
      <c r="AK71" s="402">
        <f>SUM(AK72)</f>
        <v>0</v>
      </c>
      <c r="AL71" s="402">
        <f>SUM(AL72)</f>
        <v>14015</v>
      </c>
      <c r="AM71" s="403"/>
      <c r="AN71" s="403"/>
      <c r="AO71" s="402">
        <f>SUM(AO72)</f>
        <v>0</v>
      </c>
      <c r="AP71" s="402">
        <f>SUM(AP72)</f>
        <v>101345</v>
      </c>
      <c r="AQ71" s="402">
        <f>SUM(AQ72)</f>
        <v>0</v>
      </c>
      <c r="AR71" s="402">
        <f>SUM(AR72)</f>
        <v>0</v>
      </c>
      <c r="AS71" s="402"/>
      <c r="AT71" s="402"/>
      <c r="AU71" s="402">
        <f aca="true" t="shared" si="72" ref="AU71:BD71">SUM(AU72)</f>
        <v>0</v>
      </c>
      <c r="AV71" s="402">
        <f t="shared" si="72"/>
        <v>101345</v>
      </c>
      <c r="AW71" s="402">
        <f t="shared" si="72"/>
        <v>0</v>
      </c>
      <c r="AX71" s="402">
        <f t="shared" si="72"/>
        <v>26620</v>
      </c>
      <c r="AY71" s="402">
        <f t="shared" si="72"/>
        <v>0</v>
      </c>
      <c r="AZ71" s="402">
        <f t="shared" si="72"/>
        <v>0</v>
      </c>
      <c r="BA71" s="402">
        <f t="shared" si="72"/>
        <v>0</v>
      </c>
      <c r="BB71" s="402">
        <f t="shared" si="72"/>
        <v>127965</v>
      </c>
      <c r="BC71" s="402">
        <f t="shared" si="72"/>
        <v>0</v>
      </c>
      <c r="BD71" s="402">
        <f t="shared" si="72"/>
        <v>26875</v>
      </c>
      <c r="BE71" s="402"/>
      <c r="BF71" s="402"/>
      <c r="BG71" s="402">
        <f>SUM(BG72)</f>
        <v>0</v>
      </c>
      <c r="BH71" s="402">
        <f>SUM(BH72)</f>
        <v>154840</v>
      </c>
      <c r="BI71" s="402">
        <f>SUM(BI72)</f>
        <v>0</v>
      </c>
      <c r="BJ71" s="402">
        <f>SUM(BJ72)</f>
        <v>37755</v>
      </c>
      <c r="BK71" s="402"/>
      <c r="BL71" s="402"/>
      <c r="BM71" s="402">
        <f>SUM(BM72)</f>
        <v>0</v>
      </c>
      <c r="BN71" s="402">
        <f>SUM(BN72)</f>
        <v>192595</v>
      </c>
      <c r="BO71" s="402">
        <f>SUM(BO72)</f>
        <v>0</v>
      </c>
      <c r="BP71" s="402">
        <f>SUM(BP72)</f>
        <v>11100</v>
      </c>
      <c r="BQ71" s="402"/>
      <c r="BR71" s="402"/>
      <c r="BS71" s="402">
        <f>SUM(BS72)</f>
        <v>0</v>
      </c>
      <c r="BT71" s="402">
        <f>SUM(BT72)</f>
        <v>203695</v>
      </c>
      <c r="BU71" s="402">
        <f>SUM(BU72)</f>
        <v>90</v>
      </c>
      <c r="BV71" s="402">
        <f>SUM(BV72)</f>
        <v>39065</v>
      </c>
      <c r="BW71" s="402">
        <f>SUM(BW72)</f>
        <v>450</v>
      </c>
      <c r="BX71" s="402">
        <f>SUM(BX72)</f>
        <v>26332.5</v>
      </c>
      <c r="BY71" s="402">
        <f>SUM(BY72)</f>
        <v>0</v>
      </c>
      <c r="BZ71" s="402">
        <f>SUM(BZ72)</f>
        <v>268552.5</v>
      </c>
      <c r="CA71" s="402">
        <f>SUM(CA72)</f>
        <v>289432.5</v>
      </c>
      <c r="CB71" s="402">
        <f>SUM(CB72)</f>
        <v>0</v>
      </c>
      <c r="CC71" s="402">
        <f>SUM(CC72)</f>
        <v>0</v>
      </c>
      <c r="CD71" s="402">
        <f>SUM(CD72)</f>
        <v>-20880</v>
      </c>
      <c r="CE71" s="404"/>
      <c r="CF71" s="404"/>
    </row>
    <row r="72" spans="1:82" ht="15.75">
      <c r="A72" s="14"/>
      <c r="B72" s="32"/>
      <c r="C72" s="32" t="s">
        <v>64</v>
      </c>
      <c r="D72" s="32"/>
      <c r="E72" s="13"/>
      <c r="F72" s="13"/>
      <c r="G72" s="13"/>
      <c r="H72" s="13">
        <v>12005</v>
      </c>
      <c r="I72" s="13"/>
      <c r="J72" s="13"/>
      <c r="K72" s="13"/>
      <c r="L72" s="13">
        <f>SUM(F72-G72+H72-I72+J72)</f>
        <v>12005</v>
      </c>
      <c r="M72" s="13"/>
      <c r="N72" s="13">
        <v>34960</v>
      </c>
      <c r="O72" s="13"/>
      <c r="P72" s="13"/>
      <c r="Q72" s="13"/>
      <c r="R72" s="13">
        <f>SUM(L72-M72+N72-O72+P72)</f>
        <v>46965</v>
      </c>
      <c r="S72" s="13"/>
      <c r="T72" s="13">
        <v>15260</v>
      </c>
      <c r="U72" s="13"/>
      <c r="V72" s="13"/>
      <c r="W72" s="13"/>
      <c r="X72" s="13">
        <f>SUM(R72-S72+T72-U72+V72)</f>
        <v>62225</v>
      </c>
      <c r="Y72" s="13"/>
      <c r="Z72" s="13">
        <v>14575</v>
      </c>
      <c r="AA72" s="13"/>
      <c r="AB72" s="13"/>
      <c r="AC72" s="13"/>
      <c r="AD72" s="13">
        <f>SUM(X72-Y72+Z72-AA72+AB72)</f>
        <v>76800</v>
      </c>
      <c r="AE72" s="524"/>
      <c r="AF72" s="13">
        <v>10530</v>
      </c>
      <c r="AG72" s="13"/>
      <c r="AH72" s="13"/>
      <c r="AI72" s="13"/>
      <c r="AJ72" s="13">
        <f>SUM(AD72-AE72+AF72-AG72+AH72)</f>
        <v>87330</v>
      </c>
      <c r="AK72" s="13"/>
      <c r="AL72" s="13">
        <v>14015</v>
      </c>
      <c r="AM72" s="13"/>
      <c r="AN72" s="13"/>
      <c r="AO72" s="13"/>
      <c r="AP72" s="13">
        <f>SUM(AJ72-AK72+AL72-AM72+AN72)</f>
        <v>101345</v>
      </c>
      <c r="AQ72" s="13"/>
      <c r="AR72" s="13"/>
      <c r="AS72" s="13"/>
      <c r="AT72" s="13"/>
      <c r="AU72" s="13"/>
      <c r="AV72" s="13">
        <f>SUM(AP72-AQ72+AR72-AS72+AT72)</f>
        <v>101345</v>
      </c>
      <c r="AW72" s="13"/>
      <c r="AX72" s="13">
        <v>26620</v>
      </c>
      <c r="AY72" s="13"/>
      <c r="AZ72" s="13"/>
      <c r="BA72" s="13"/>
      <c r="BB72" s="13">
        <f>SUM(AV72-AW72+AX72-AY72+AZ72)</f>
        <v>127965</v>
      </c>
      <c r="BC72" s="13"/>
      <c r="BD72" s="13">
        <v>26875</v>
      </c>
      <c r="BE72" s="13"/>
      <c r="BF72" s="13"/>
      <c r="BG72" s="13"/>
      <c r="BH72" s="13">
        <f>SUM(BB72-BC72+BD72-BE72+BF72)</f>
        <v>154840</v>
      </c>
      <c r="BI72" s="13"/>
      <c r="BJ72" s="13">
        <v>37755</v>
      </c>
      <c r="BK72" s="13"/>
      <c r="BL72" s="13"/>
      <c r="BM72" s="13"/>
      <c r="BN72" s="13">
        <f>SUM(BH72-BI72+BJ72-BK72+BL72)</f>
        <v>192595</v>
      </c>
      <c r="BO72" s="13"/>
      <c r="BP72" s="13">
        <v>11100</v>
      </c>
      <c r="BQ72" s="13"/>
      <c r="BR72" s="13"/>
      <c r="BS72" s="13"/>
      <c r="BT72" s="13">
        <f>SUM(BN72-BO72+BP72-BQ72+BR72)</f>
        <v>203695</v>
      </c>
      <c r="BU72" s="13">
        <v>90</v>
      </c>
      <c r="BV72" s="13">
        <v>39065</v>
      </c>
      <c r="BW72" s="13">
        <v>450</v>
      </c>
      <c r="BX72" s="13">
        <v>26332.5</v>
      </c>
      <c r="BY72" s="13"/>
      <c r="BZ72" s="13">
        <f>SUM(BT72-BU72+BV72-BW72+BX72)</f>
        <v>268552.5</v>
      </c>
      <c r="CA72" s="13">
        <v>289432.5</v>
      </c>
      <c r="CB72" s="13"/>
      <c r="CC72" s="13"/>
      <c r="CD72" s="13">
        <f>+BZ72-CA72</f>
        <v>-20880</v>
      </c>
    </row>
    <row r="73" spans="1:84" s="405" customFormat="1" ht="15.75">
      <c r="A73" s="400"/>
      <c r="B73" s="401" t="s">
        <v>105</v>
      </c>
      <c r="C73" s="401"/>
      <c r="D73" s="401"/>
      <c r="E73" s="402">
        <f aca="true" t="shared" si="73" ref="E73:M73">SUM(E74:E76)</f>
        <v>0</v>
      </c>
      <c r="F73" s="402">
        <f t="shared" si="73"/>
        <v>0</v>
      </c>
      <c r="G73" s="402">
        <f t="shared" si="73"/>
        <v>0</v>
      </c>
      <c r="H73" s="402">
        <f>SUM(H74:H76)</f>
        <v>2510</v>
      </c>
      <c r="I73" s="402">
        <f t="shared" si="73"/>
        <v>0</v>
      </c>
      <c r="J73" s="402">
        <f t="shared" si="73"/>
        <v>0</v>
      </c>
      <c r="K73" s="402">
        <f t="shared" si="73"/>
        <v>0</v>
      </c>
      <c r="L73" s="402">
        <f>SUM(L74:L76)</f>
        <v>2510</v>
      </c>
      <c r="M73" s="402">
        <f t="shared" si="73"/>
        <v>0</v>
      </c>
      <c r="N73" s="402">
        <f>SUM(N74:N76)</f>
        <v>10700</v>
      </c>
      <c r="O73" s="402"/>
      <c r="P73" s="402"/>
      <c r="Q73" s="402">
        <f>SUM(Q74:Q76)</f>
        <v>0</v>
      </c>
      <c r="R73" s="402">
        <f>SUM(R74:R76)</f>
        <v>13210</v>
      </c>
      <c r="S73" s="402">
        <f>SUM(S74:S76)</f>
        <v>0</v>
      </c>
      <c r="T73" s="402">
        <f>SUM(T74:T76)</f>
        <v>420</v>
      </c>
      <c r="U73" s="402"/>
      <c r="V73" s="402"/>
      <c r="W73" s="402">
        <f>SUM(W74:W76)</f>
        <v>0</v>
      </c>
      <c r="X73" s="402">
        <f>SUM(X74:X76)</f>
        <v>13630</v>
      </c>
      <c r="Y73" s="402">
        <f>SUM(Y74:Y76)</f>
        <v>0</v>
      </c>
      <c r="Z73" s="402">
        <f>SUM(Z74:Z76)</f>
        <v>13720</v>
      </c>
      <c r="AA73" s="402"/>
      <c r="AB73" s="402"/>
      <c r="AC73" s="402">
        <f>SUM(AC74:AC76)</f>
        <v>0</v>
      </c>
      <c r="AD73" s="402">
        <f>SUM(AD74:AD76)</f>
        <v>27350</v>
      </c>
      <c r="AE73" s="531">
        <f>SUM(AE74:AE76)</f>
        <v>0</v>
      </c>
      <c r="AF73" s="402">
        <f>SUM(AF74:AF76)</f>
        <v>8600</v>
      </c>
      <c r="AG73" s="402"/>
      <c r="AH73" s="402"/>
      <c r="AI73" s="402">
        <f>SUM(AI74:AI76)</f>
        <v>0</v>
      </c>
      <c r="AJ73" s="402">
        <f>SUM(AJ74:AJ76)</f>
        <v>35950</v>
      </c>
      <c r="AK73" s="402">
        <f>SUM(AK74:AK76)</f>
        <v>0</v>
      </c>
      <c r="AL73" s="402">
        <f>SUM(AL74:AL76)</f>
        <v>2570</v>
      </c>
      <c r="AM73" s="403"/>
      <c r="AN73" s="403"/>
      <c r="AO73" s="402">
        <f>SUM(AO74:AO76)</f>
        <v>0</v>
      </c>
      <c r="AP73" s="402">
        <f>SUM(AP74:AP76)</f>
        <v>38520</v>
      </c>
      <c r="AQ73" s="402">
        <f>SUM(AQ74:AQ76)</f>
        <v>0</v>
      </c>
      <c r="AR73" s="402">
        <f>SUM(AR74:AR76)</f>
        <v>0</v>
      </c>
      <c r="AS73" s="402"/>
      <c r="AT73" s="402"/>
      <c r="AU73" s="402">
        <f aca="true" t="shared" si="74" ref="AU73:BD73">SUM(AU74:AU76)</f>
        <v>0</v>
      </c>
      <c r="AV73" s="402">
        <f t="shared" si="74"/>
        <v>38520</v>
      </c>
      <c r="AW73" s="402">
        <f t="shared" si="74"/>
        <v>0</v>
      </c>
      <c r="AX73" s="402">
        <f t="shared" si="74"/>
        <v>2870</v>
      </c>
      <c r="AY73" s="402">
        <f t="shared" si="74"/>
        <v>0</v>
      </c>
      <c r="AZ73" s="402">
        <f t="shared" si="74"/>
        <v>0</v>
      </c>
      <c r="BA73" s="402">
        <f t="shared" si="74"/>
        <v>0</v>
      </c>
      <c r="BB73" s="402">
        <f t="shared" si="74"/>
        <v>41390</v>
      </c>
      <c r="BC73" s="402">
        <f t="shared" si="74"/>
        <v>0</v>
      </c>
      <c r="BD73" s="402">
        <f t="shared" si="74"/>
        <v>745</v>
      </c>
      <c r="BE73" s="402"/>
      <c r="BF73" s="402"/>
      <c r="BG73" s="402">
        <f>SUM(BG74:BG76)</f>
        <v>0</v>
      </c>
      <c r="BH73" s="402">
        <f>SUM(BH74:BH76)</f>
        <v>42135</v>
      </c>
      <c r="BI73" s="402">
        <f>SUM(BI74:BI76)</f>
        <v>0</v>
      </c>
      <c r="BJ73" s="402">
        <f>SUM(BJ74:BJ76)</f>
        <v>170</v>
      </c>
      <c r="BK73" s="402"/>
      <c r="BL73" s="402"/>
      <c r="BM73" s="402">
        <f>SUM(BM74:BM76)</f>
        <v>0</v>
      </c>
      <c r="BN73" s="402">
        <f>SUM(BN74:BN76)</f>
        <v>42305</v>
      </c>
      <c r="BO73" s="402">
        <f>SUM(BO74:BO76)</f>
        <v>0</v>
      </c>
      <c r="BP73" s="402">
        <f>SUM(BP74:BP76)</f>
        <v>100</v>
      </c>
      <c r="BQ73" s="402"/>
      <c r="BR73" s="402"/>
      <c r="BS73" s="402">
        <f>SUM(BS74:BS76)</f>
        <v>0</v>
      </c>
      <c r="BT73" s="402">
        <f>SUM(BT74:BT76)</f>
        <v>42405</v>
      </c>
      <c r="BU73" s="402">
        <f>SUM(BU74:BU76)</f>
        <v>0</v>
      </c>
      <c r="BV73" s="402">
        <f>SUM(BV74:BV76)</f>
        <v>14110</v>
      </c>
      <c r="BW73" s="402"/>
      <c r="BX73" s="402"/>
      <c r="BY73" s="402">
        <f>SUM(BY74:BY76)</f>
        <v>0</v>
      </c>
      <c r="BZ73" s="402">
        <f>SUM(BZ74:BZ76)</f>
        <v>56515</v>
      </c>
      <c r="CA73" s="402">
        <f>SUM(CA74:CA76)</f>
        <v>132689</v>
      </c>
      <c r="CB73" s="402">
        <f>SUM(CB74:CB76)</f>
        <v>0</v>
      </c>
      <c r="CC73" s="402">
        <f>SUM(CC74:CC76)</f>
        <v>0</v>
      </c>
      <c r="CD73" s="402">
        <f>SUM(CD74:CD76)</f>
        <v>-76174</v>
      </c>
      <c r="CE73" s="404"/>
      <c r="CF73" s="404"/>
    </row>
    <row r="74" spans="1:82" ht="15.75">
      <c r="A74" s="40"/>
      <c r="B74" s="41"/>
      <c r="C74" s="41" t="s">
        <v>65</v>
      </c>
      <c r="D74" s="41"/>
      <c r="E74" s="42"/>
      <c r="F74" s="42"/>
      <c r="G74" s="42"/>
      <c r="H74" s="42"/>
      <c r="I74" s="42"/>
      <c r="J74" s="42"/>
      <c r="K74" s="42"/>
      <c r="L74" s="42">
        <f>SUM(F74-G74+H74-I74+J74)</f>
        <v>0</v>
      </c>
      <c r="M74" s="42"/>
      <c r="N74" s="42">
        <v>10500</v>
      </c>
      <c r="O74" s="42"/>
      <c r="P74" s="42"/>
      <c r="Q74" s="42"/>
      <c r="R74" s="42">
        <f>SUM(L74-M74+N74-O74+P74)</f>
        <v>10500</v>
      </c>
      <c r="S74" s="42"/>
      <c r="T74" s="42">
        <v>0</v>
      </c>
      <c r="U74" s="42"/>
      <c r="V74" s="42"/>
      <c r="W74" s="42"/>
      <c r="X74" s="42">
        <f>SUM(R74-S74+T74-U74+V74)</f>
        <v>10500</v>
      </c>
      <c r="Y74" s="42"/>
      <c r="Z74" s="42">
        <v>12000</v>
      </c>
      <c r="AA74" s="42"/>
      <c r="AB74" s="42"/>
      <c r="AC74" s="42"/>
      <c r="AD74" s="42">
        <f>SUM(X74-Y74+Z74-AA74+AB74)</f>
        <v>22500</v>
      </c>
      <c r="AE74" s="526"/>
      <c r="AF74" s="42">
        <v>8000</v>
      </c>
      <c r="AG74" s="42"/>
      <c r="AH74" s="42"/>
      <c r="AI74" s="42"/>
      <c r="AJ74" s="42">
        <f>SUM(AD74-AE74+AF74-AG74+AH74)</f>
        <v>30500</v>
      </c>
      <c r="AK74" s="42"/>
      <c r="AL74" s="42">
        <v>0</v>
      </c>
      <c r="AM74" s="42"/>
      <c r="AN74" s="42"/>
      <c r="AO74" s="42"/>
      <c r="AP74" s="42">
        <f>SUM(AJ74-AK74+AL74-AM74+AN74)</f>
        <v>30500</v>
      </c>
      <c r="AQ74" s="42"/>
      <c r="AR74" s="42"/>
      <c r="AS74" s="42"/>
      <c r="AT74" s="42"/>
      <c r="AU74" s="42"/>
      <c r="AV74" s="42">
        <f>SUM(AP74-AQ74+AR74-AS74+AT74)</f>
        <v>30500</v>
      </c>
      <c r="AW74" s="42"/>
      <c r="AX74" s="42">
        <v>2500</v>
      </c>
      <c r="AY74" s="42"/>
      <c r="AZ74" s="42"/>
      <c r="BA74" s="42"/>
      <c r="BB74" s="42">
        <f>SUM(AV74-AW74+AX74-AY74+AZ74)</f>
        <v>33000</v>
      </c>
      <c r="BC74" s="42"/>
      <c r="BD74" s="42"/>
      <c r="BE74" s="42"/>
      <c r="BF74" s="42"/>
      <c r="BG74" s="42"/>
      <c r="BH74" s="42">
        <f>SUM(BB74-BC74+BD74-BE74+BF74)</f>
        <v>33000</v>
      </c>
      <c r="BI74" s="42"/>
      <c r="BJ74" s="42">
        <v>0</v>
      </c>
      <c r="BK74" s="42"/>
      <c r="BL74" s="42"/>
      <c r="BM74" s="42"/>
      <c r="BN74" s="42">
        <f>SUM(BH74-BI74+BJ74-BK74+BL74)</f>
        <v>33000</v>
      </c>
      <c r="BO74" s="42"/>
      <c r="BP74" s="42"/>
      <c r="BQ74" s="42"/>
      <c r="BR74" s="42"/>
      <c r="BS74" s="42"/>
      <c r="BT74" s="42">
        <f>SUM(BN74-BO74+BP74-BQ74+BR74)</f>
        <v>33000</v>
      </c>
      <c r="BU74" s="42"/>
      <c r="BV74" s="42"/>
      <c r="BW74" s="42"/>
      <c r="BX74" s="42"/>
      <c r="BY74" s="42"/>
      <c r="BZ74" s="42">
        <f>SUM(BT74-BU74+BV74-BW74+BX74)</f>
        <v>33000</v>
      </c>
      <c r="CA74" s="42">
        <v>38500</v>
      </c>
      <c r="CB74" s="42"/>
      <c r="CC74" s="42"/>
      <c r="CD74" s="42">
        <f>SUM(BX74-BY74+BZ74-CA74+CB74)</f>
        <v>-5500</v>
      </c>
    </row>
    <row r="75" spans="1:82" ht="15.75">
      <c r="A75" s="43"/>
      <c r="B75" s="44"/>
      <c r="C75" s="44" t="s">
        <v>106</v>
      </c>
      <c r="D75" s="44"/>
      <c r="E75" s="45"/>
      <c r="F75" s="45"/>
      <c r="G75" s="45"/>
      <c r="H75" s="45"/>
      <c r="I75" s="45"/>
      <c r="J75" s="45"/>
      <c r="K75" s="45"/>
      <c r="L75" s="45">
        <f>SUM(F75-G75+H75-I75+J75)</f>
        <v>0</v>
      </c>
      <c r="M75" s="45"/>
      <c r="N75" s="45"/>
      <c r="O75" s="45"/>
      <c r="P75" s="45"/>
      <c r="Q75" s="45"/>
      <c r="R75" s="45">
        <f>SUM(L75-M75+N75-O75+P75)</f>
        <v>0</v>
      </c>
      <c r="S75" s="45"/>
      <c r="T75" s="45">
        <v>0</v>
      </c>
      <c r="U75" s="45"/>
      <c r="V75" s="45"/>
      <c r="W75" s="45"/>
      <c r="X75" s="45">
        <f>SUM(R75-S75+T75-U75+V75)</f>
        <v>0</v>
      </c>
      <c r="Y75" s="45"/>
      <c r="Z75" s="45"/>
      <c r="AA75" s="45"/>
      <c r="AB75" s="45"/>
      <c r="AC75" s="45"/>
      <c r="AD75" s="45">
        <f>SUM(X75-Y75+Z75-AA75+AB75)</f>
        <v>0</v>
      </c>
      <c r="AE75" s="527"/>
      <c r="AF75" s="527"/>
      <c r="AG75" s="45"/>
      <c r="AH75" s="45"/>
      <c r="AI75" s="45"/>
      <c r="AJ75" s="45">
        <f>SUM(AD75-AE75+AF75-AG75+AH75)</f>
        <v>0</v>
      </c>
      <c r="AK75" s="45"/>
      <c r="AL75" s="45">
        <v>0</v>
      </c>
      <c r="AM75" s="45"/>
      <c r="AN75" s="45"/>
      <c r="AO75" s="45"/>
      <c r="AP75" s="45">
        <f>SUM(AJ75-AK75+AL75-AM75+AN75)</f>
        <v>0</v>
      </c>
      <c r="AQ75" s="45"/>
      <c r="AR75" s="45"/>
      <c r="AS75" s="45"/>
      <c r="AT75" s="45"/>
      <c r="AU75" s="45"/>
      <c r="AV75" s="45">
        <f>SUM(AP75-AQ75+AR75-AS75+AT75)</f>
        <v>0</v>
      </c>
      <c r="AW75" s="45"/>
      <c r="AX75" s="45">
        <v>0</v>
      </c>
      <c r="AY75" s="45"/>
      <c r="AZ75" s="45"/>
      <c r="BA75" s="45"/>
      <c r="BB75" s="45">
        <f>SUM(AV75-AW75+AX75-AY75+AZ75)</f>
        <v>0</v>
      </c>
      <c r="BC75" s="45"/>
      <c r="BD75" s="45">
        <v>0</v>
      </c>
      <c r="BE75" s="45"/>
      <c r="BF75" s="45"/>
      <c r="BG75" s="45"/>
      <c r="BH75" s="45">
        <f>SUM(BB75-BC75+BD75-BE75+BF75)</f>
        <v>0</v>
      </c>
      <c r="BI75" s="45"/>
      <c r="BJ75" s="45">
        <v>0</v>
      </c>
      <c r="BK75" s="45"/>
      <c r="BL75" s="45"/>
      <c r="BM75" s="45"/>
      <c r="BN75" s="45">
        <f>SUM(BH75-BI75+BJ75-BK75+BL75)</f>
        <v>0</v>
      </c>
      <c r="BO75" s="45"/>
      <c r="BP75" s="45"/>
      <c r="BQ75" s="45"/>
      <c r="BR75" s="45"/>
      <c r="BS75" s="45"/>
      <c r="BT75" s="45">
        <f>SUM(BN75-BO75+BP75-BQ75+BR75)</f>
        <v>0</v>
      </c>
      <c r="BU75" s="45"/>
      <c r="BV75" s="45"/>
      <c r="BW75" s="45"/>
      <c r="BX75" s="45"/>
      <c r="BY75" s="45"/>
      <c r="BZ75" s="45">
        <f>SUM(BT75-BU75+BV75-BW75+BX75)</f>
        <v>0</v>
      </c>
      <c r="CA75" s="45">
        <v>0</v>
      </c>
      <c r="CB75" s="45"/>
      <c r="CC75" s="45"/>
      <c r="CD75" s="45">
        <f>SUM(BX75-BY75+BZ75-CA75+CB75)</f>
        <v>0</v>
      </c>
    </row>
    <row r="76" spans="1:82" ht="15.75">
      <c r="A76" s="46"/>
      <c r="B76" s="47"/>
      <c r="C76" s="47" t="s">
        <v>66</v>
      </c>
      <c r="D76" s="47"/>
      <c r="E76" s="48"/>
      <c r="F76" s="48"/>
      <c r="G76" s="48"/>
      <c r="H76" s="48">
        <v>2510</v>
      </c>
      <c r="I76" s="48"/>
      <c r="J76" s="48"/>
      <c r="K76" s="48"/>
      <c r="L76" s="45">
        <f>SUM(F76-G76+H76-I76+J76)</f>
        <v>2510</v>
      </c>
      <c r="M76" s="48"/>
      <c r="N76" s="48">
        <v>200</v>
      </c>
      <c r="O76" s="48"/>
      <c r="P76" s="48"/>
      <c r="Q76" s="48"/>
      <c r="R76" s="45">
        <f>SUM(L76-M76+N76-O76+P76)</f>
        <v>2710</v>
      </c>
      <c r="S76" s="48"/>
      <c r="T76" s="48">
        <v>420</v>
      </c>
      <c r="U76" s="48"/>
      <c r="V76" s="48"/>
      <c r="W76" s="48"/>
      <c r="X76" s="45">
        <f>SUM(R76-S76+T76-U76+V76)</f>
        <v>3130</v>
      </c>
      <c r="Y76" s="48"/>
      <c r="Z76" s="48">
        <v>1720</v>
      </c>
      <c r="AA76" s="48"/>
      <c r="AB76" s="48"/>
      <c r="AC76" s="48"/>
      <c r="AD76" s="45">
        <f>SUM(X76-Y76+Z76-AA76+AB76)</f>
        <v>4850</v>
      </c>
      <c r="AE76" s="528"/>
      <c r="AF76" s="48">
        <v>600</v>
      </c>
      <c r="AG76" s="48"/>
      <c r="AH76" s="48"/>
      <c r="AI76" s="48"/>
      <c r="AJ76" s="45">
        <f>SUM(AD76-AE76+AF76-AG76+AH76)</f>
        <v>5450</v>
      </c>
      <c r="AK76" s="48"/>
      <c r="AL76" s="48">
        <v>2570</v>
      </c>
      <c r="AM76" s="48"/>
      <c r="AN76" s="48"/>
      <c r="AO76" s="48"/>
      <c r="AP76" s="45">
        <f>SUM(AJ76-AK76+AL76-AM76+AN76)</f>
        <v>8020</v>
      </c>
      <c r="AQ76" s="48"/>
      <c r="AR76" s="48"/>
      <c r="AS76" s="48"/>
      <c r="AT76" s="48"/>
      <c r="AU76" s="48"/>
      <c r="AV76" s="45">
        <f>SUM(AP76-AQ76+AR76-AS76+AT76)</f>
        <v>8020</v>
      </c>
      <c r="AW76" s="48"/>
      <c r="AX76" s="48">
        <v>370</v>
      </c>
      <c r="AY76" s="48"/>
      <c r="AZ76" s="48"/>
      <c r="BA76" s="48"/>
      <c r="BB76" s="45">
        <f>SUM(AV76-AW76+AX76-AY76+AZ76)</f>
        <v>8390</v>
      </c>
      <c r="BC76" s="48"/>
      <c r="BD76" s="48">
        <v>745</v>
      </c>
      <c r="BE76" s="48"/>
      <c r="BF76" s="48"/>
      <c r="BG76" s="48"/>
      <c r="BH76" s="45">
        <f>SUM(BB76-BC76+BD76-BE76+BF76)</f>
        <v>9135</v>
      </c>
      <c r="BI76" s="48"/>
      <c r="BJ76" s="48">
        <v>170</v>
      </c>
      <c r="BK76" s="48"/>
      <c r="BL76" s="48"/>
      <c r="BM76" s="48"/>
      <c r="BN76" s="45">
        <f>SUM(BH76-BI76+BJ76-BK76+BL76)</f>
        <v>9305</v>
      </c>
      <c r="BO76" s="48"/>
      <c r="BP76" s="48">
        <v>100</v>
      </c>
      <c r="BQ76" s="48"/>
      <c r="BR76" s="48"/>
      <c r="BS76" s="48"/>
      <c r="BT76" s="45">
        <f>SUM(BN76-BO76+BP76-BQ76+BR76)</f>
        <v>9405</v>
      </c>
      <c r="BU76" s="48"/>
      <c r="BV76" s="48">
        <f>9960+4150</f>
        <v>14110</v>
      </c>
      <c r="BW76" s="48"/>
      <c r="BX76" s="48"/>
      <c r="BY76" s="48"/>
      <c r="BZ76" s="45">
        <f>SUM(BT76-BU76+BV76-BW76+BX76)</f>
        <v>23515</v>
      </c>
      <c r="CA76" s="48">
        <v>94189</v>
      </c>
      <c r="CB76" s="48"/>
      <c r="CC76" s="48"/>
      <c r="CD76" s="45">
        <f>SUM(BX76-BY76+BZ76-CA76+CB76)</f>
        <v>-70674</v>
      </c>
    </row>
    <row r="77" spans="1:84" s="405" customFormat="1" ht="15.75">
      <c r="A77" s="400"/>
      <c r="B77" s="401" t="s">
        <v>107</v>
      </c>
      <c r="C77" s="401"/>
      <c r="D77" s="401"/>
      <c r="E77" s="402">
        <f aca="true" t="shared" si="75" ref="E77:BZ77">SUM(E78)</f>
        <v>0</v>
      </c>
      <c r="F77" s="402">
        <f t="shared" si="75"/>
        <v>0</v>
      </c>
      <c r="G77" s="402">
        <f t="shared" si="75"/>
        <v>0</v>
      </c>
      <c r="H77" s="402">
        <f>SUM(H78)</f>
        <v>0</v>
      </c>
      <c r="I77" s="402">
        <f t="shared" si="75"/>
        <v>0</v>
      </c>
      <c r="J77" s="402">
        <f t="shared" si="75"/>
        <v>0</v>
      </c>
      <c r="K77" s="402">
        <f t="shared" si="75"/>
        <v>0</v>
      </c>
      <c r="L77" s="402">
        <f>SUM(L78)</f>
        <v>0</v>
      </c>
      <c r="M77" s="402">
        <f t="shared" si="75"/>
        <v>0</v>
      </c>
      <c r="N77" s="402">
        <f t="shared" si="75"/>
        <v>0</v>
      </c>
      <c r="O77" s="402"/>
      <c r="P77" s="402"/>
      <c r="Q77" s="402">
        <f t="shared" si="75"/>
        <v>0</v>
      </c>
      <c r="R77" s="402">
        <f>SUM(R78)</f>
        <v>0</v>
      </c>
      <c r="S77" s="402">
        <f t="shared" si="75"/>
        <v>0</v>
      </c>
      <c r="T77" s="402">
        <f t="shared" si="75"/>
        <v>0</v>
      </c>
      <c r="U77" s="402"/>
      <c r="V77" s="402"/>
      <c r="W77" s="402">
        <f t="shared" si="75"/>
        <v>0</v>
      </c>
      <c r="X77" s="402">
        <f t="shared" si="75"/>
        <v>0</v>
      </c>
      <c r="Y77" s="402">
        <f t="shared" si="75"/>
        <v>0</v>
      </c>
      <c r="Z77" s="402">
        <f t="shared" si="75"/>
        <v>0</v>
      </c>
      <c r="AA77" s="402"/>
      <c r="AB77" s="402"/>
      <c r="AC77" s="402">
        <f t="shared" si="75"/>
        <v>0</v>
      </c>
      <c r="AD77" s="402">
        <f t="shared" si="75"/>
        <v>0</v>
      </c>
      <c r="AE77" s="531">
        <f t="shared" si="75"/>
        <v>0</v>
      </c>
      <c r="AF77" s="531">
        <f>SUM(AF78)</f>
        <v>0</v>
      </c>
      <c r="AG77" s="402"/>
      <c r="AH77" s="402"/>
      <c r="AI77" s="402">
        <f t="shared" si="75"/>
        <v>0</v>
      </c>
      <c r="AJ77" s="402">
        <f>SUM(AJ78)</f>
        <v>0</v>
      </c>
      <c r="AK77" s="402">
        <f t="shared" si="75"/>
        <v>0</v>
      </c>
      <c r="AL77" s="402">
        <f t="shared" si="75"/>
        <v>0</v>
      </c>
      <c r="AM77" s="403"/>
      <c r="AN77" s="403"/>
      <c r="AO77" s="402">
        <f t="shared" si="75"/>
        <v>0</v>
      </c>
      <c r="AP77" s="402">
        <f t="shared" si="75"/>
        <v>0</v>
      </c>
      <c r="AQ77" s="402">
        <f t="shared" si="75"/>
        <v>0</v>
      </c>
      <c r="AR77" s="402">
        <f>SUM(AR78)</f>
        <v>0</v>
      </c>
      <c r="AS77" s="402"/>
      <c r="AT77" s="402"/>
      <c r="AU77" s="402">
        <f t="shared" si="75"/>
        <v>0</v>
      </c>
      <c r="AV77" s="402">
        <f>SUM(AV78)</f>
        <v>0</v>
      </c>
      <c r="AW77" s="402">
        <f t="shared" si="75"/>
        <v>0</v>
      </c>
      <c r="AX77" s="402">
        <f t="shared" si="75"/>
        <v>0</v>
      </c>
      <c r="AY77" s="402">
        <f t="shared" si="75"/>
        <v>0</v>
      </c>
      <c r="AZ77" s="402">
        <f t="shared" si="75"/>
        <v>0</v>
      </c>
      <c r="BA77" s="402">
        <f t="shared" si="75"/>
        <v>0</v>
      </c>
      <c r="BB77" s="402">
        <f t="shared" si="75"/>
        <v>0</v>
      </c>
      <c r="BC77" s="402">
        <f t="shared" si="75"/>
        <v>0</v>
      </c>
      <c r="BD77" s="402">
        <f t="shared" si="75"/>
        <v>0</v>
      </c>
      <c r="BE77" s="402"/>
      <c r="BF77" s="402"/>
      <c r="BG77" s="402">
        <f>SUM(BG78)</f>
        <v>0</v>
      </c>
      <c r="BH77" s="402">
        <f>SUM(BH78)</f>
        <v>0</v>
      </c>
      <c r="BI77" s="402">
        <f t="shared" si="75"/>
        <v>0</v>
      </c>
      <c r="BJ77" s="402">
        <f t="shared" si="75"/>
        <v>0</v>
      </c>
      <c r="BK77" s="402"/>
      <c r="BL77" s="402"/>
      <c r="BM77" s="402">
        <f t="shared" si="75"/>
        <v>0</v>
      </c>
      <c r="BN77" s="402">
        <f t="shared" si="75"/>
        <v>0</v>
      </c>
      <c r="BO77" s="402">
        <f t="shared" si="75"/>
        <v>0</v>
      </c>
      <c r="BP77" s="402">
        <f t="shared" si="75"/>
        <v>0</v>
      </c>
      <c r="BQ77" s="402"/>
      <c r="BR77" s="402"/>
      <c r="BS77" s="402">
        <f t="shared" si="75"/>
        <v>0</v>
      </c>
      <c r="BT77" s="402">
        <f>SUM(BT78)</f>
        <v>0</v>
      </c>
      <c r="BU77" s="402">
        <f t="shared" si="75"/>
        <v>0</v>
      </c>
      <c r="BV77" s="402">
        <f t="shared" si="75"/>
        <v>0</v>
      </c>
      <c r="BW77" s="402"/>
      <c r="BX77" s="402"/>
      <c r="BY77" s="402">
        <f t="shared" si="75"/>
        <v>0</v>
      </c>
      <c r="BZ77" s="402">
        <f t="shared" si="75"/>
        <v>0</v>
      </c>
      <c r="CA77" s="402">
        <f>SUM(CA78)</f>
        <v>0</v>
      </c>
      <c r="CB77" s="402">
        <f>SUM(CB78)</f>
        <v>0</v>
      </c>
      <c r="CC77" s="402">
        <f>SUM(CC78)</f>
        <v>0</v>
      </c>
      <c r="CD77" s="402">
        <f>SUM(CD78)</f>
        <v>0</v>
      </c>
      <c r="CE77" s="404"/>
      <c r="CF77" s="404"/>
    </row>
    <row r="78" spans="1:82" ht="15.75">
      <c r="A78" s="14"/>
      <c r="B78" s="32"/>
      <c r="C78" s="32" t="s">
        <v>108</v>
      </c>
      <c r="D78" s="32"/>
      <c r="E78" s="13"/>
      <c r="F78" s="13"/>
      <c r="G78" s="13"/>
      <c r="H78" s="13"/>
      <c r="I78" s="13"/>
      <c r="J78" s="13"/>
      <c r="K78" s="13"/>
      <c r="L78" s="13">
        <f>SUM(F78-G78+H78-I78+J78)</f>
        <v>0</v>
      </c>
      <c r="M78" s="13"/>
      <c r="N78" s="13"/>
      <c r="O78" s="13"/>
      <c r="P78" s="13"/>
      <c r="Q78" s="13"/>
      <c r="R78" s="13">
        <f>SUM(L78-M78+N78-O78+P78)</f>
        <v>0</v>
      </c>
      <c r="S78" s="13"/>
      <c r="T78" s="13">
        <v>0</v>
      </c>
      <c r="U78" s="13"/>
      <c r="V78" s="13"/>
      <c r="W78" s="13"/>
      <c r="X78" s="13">
        <f>SUM(R78-S78+T78-U78+V78)</f>
        <v>0</v>
      </c>
      <c r="Y78" s="13"/>
      <c r="Z78" s="13"/>
      <c r="AA78" s="13"/>
      <c r="AB78" s="13"/>
      <c r="AC78" s="13"/>
      <c r="AD78" s="13">
        <f>SUM(X78-Y78+Z78-AA78+AB78)</f>
        <v>0</v>
      </c>
      <c r="AE78" s="524"/>
      <c r="AF78" s="524"/>
      <c r="AG78" s="13"/>
      <c r="AH78" s="13"/>
      <c r="AI78" s="13"/>
      <c r="AJ78" s="13">
        <f>SUM(AD78-AE78+AF78-AG78+AH78)</f>
        <v>0</v>
      </c>
      <c r="AK78" s="13"/>
      <c r="AL78" s="13">
        <v>0</v>
      </c>
      <c r="AM78" s="13"/>
      <c r="AN78" s="13"/>
      <c r="AO78" s="13"/>
      <c r="AP78" s="13">
        <f>SUM(AJ78-AK78+AL78-AM78+AN78)</f>
        <v>0</v>
      </c>
      <c r="AQ78" s="13"/>
      <c r="AR78" s="13">
        <v>0</v>
      </c>
      <c r="AS78" s="13"/>
      <c r="AT78" s="13"/>
      <c r="AU78" s="13"/>
      <c r="AV78" s="13">
        <f>SUM(AP78-AQ78+AR78-AS78+AT78)</f>
        <v>0</v>
      </c>
      <c r="AW78" s="13"/>
      <c r="AX78" s="13">
        <v>0</v>
      </c>
      <c r="AY78" s="13"/>
      <c r="AZ78" s="13"/>
      <c r="BA78" s="13"/>
      <c r="BB78" s="13">
        <f>SUM(AV78-AW78+AX78-AY78+AZ78)</f>
        <v>0</v>
      </c>
      <c r="BC78" s="13"/>
      <c r="BD78" s="13">
        <v>0</v>
      </c>
      <c r="BE78" s="13"/>
      <c r="BF78" s="13"/>
      <c r="BG78" s="13"/>
      <c r="BH78" s="13">
        <f>SUM(BB78-BC78+BD78-BE78+BF78)</f>
        <v>0</v>
      </c>
      <c r="BI78" s="13"/>
      <c r="BJ78" s="13">
        <v>0</v>
      </c>
      <c r="BK78" s="13"/>
      <c r="BL78" s="13"/>
      <c r="BM78" s="13"/>
      <c r="BN78" s="13">
        <f>SUM(BH78-BI78+BJ78-BK78+BL78)</f>
        <v>0</v>
      </c>
      <c r="BO78" s="13"/>
      <c r="BP78" s="13"/>
      <c r="BQ78" s="13"/>
      <c r="BR78" s="13"/>
      <c r="BS78" s="13"/>
      <c r="BT78" s="13">
        <f>SUM(BN78-BO78+BP78-BQ78+BR78)</f>
        <v>0</v>
      </c>
      <c r="BU78" s="13"/>
      <c r="BV78" s="13"/>
      <c r="BW78" s="13"/>
      <c r="BX78" s="13"/>
      <c r="BY78" s="13"/>
      <c r="BZ78" s="13">
        <f>SUM(BT78-BU78+BV78-BW78+BX78)</f>
        <v>0</v>
      </c>
      <c r="CA78" s="13">
        <v>0</v>
      </c>
      <c r="CB78" s="13"/>
      <c r="CC78" s="13"/>
      <c r="CD78" s="13">
        <f>SUM(BX78-BY78+BZ78-CA78+CB78)</f>
        <v>0</v>
      </c>
    </row>
    <row r="79" spans="1:84" s="405" customFormat="1" ht="15.75">
      <c r="A79" s="390" t="s">
        <v>109</v>
      </c>
      <c r="B79" s="391"/>
      <c r="C79" s="391"/>
      <c r="D79" s="391"/>
      <c r="E79" s="392">
        <f>SUM(E80)</f>
        <v>0</v>
      </c>
      <c r="F79" s="392">
        <f aca="true" t="shared" si="76" ref="F79:BQ79">SUM(F80)</f>
        <v>0</v>
      </c>
      <c r="G79" s="392">
        <f t="shared" si="76"/>
        <v>0</v>
      </c>
      <c r="H79" s="392">
        <f t="shared" si="76"/>
        <v>628976.3200000001</v>
      </c>
      <c r="I79" s="392">
        <f t="shared" si="76"/>
        <v>0</v>
      </c>
      <c r="J79" s="392">
        <f t="shared" si="76"/>
        <v>0</v>
      </c>
      <c r="K79" s="392">
        <f t="shared" si="76"/>
        <v>0</v>
      </c>
      <c r="L79" s="392">
        <f t="shared" si="76"/>
        <v>628976.3200000001</v>
      </c>
      <c r="M79" s="392">
        <f t="shared" si="76"/>
        <v>0</v>
      </c>
      <c r="N79" s="392">
        <f t="shared" si="76"/>
        <v>777193.98</v>
      </c>
      <c r="O79" s="392">
        <f t="shared" si="76"/>
        <v>0</v>
      </c>
      <c r="P79" s="392">
        <f t="shared" si="76"/>
        <v>0</v>
      </c>
      <c r="Q79" s="392">
        <f t="shared" si="76"/>
        <v>0</v>
      </c>
      <c r="R79" s="392">
        <f t="shared" si="76"/>
        <v>1406170.3</v>
      </c>
      <c r="S79" s="392">
        <f t="shared" si="76"/>
        <v>0</v>
      </c>
      <c r="T79" s="392">
        <f t="shared" si="76"/>
        <v>117409.45</v>
      </c>
      <c r="U79" s="392">
        <f t="shared" si="76"/>
        <v>0</v>
      </c>
      <c r="V79" s="392">
        <f t="shared" si="76"/>
        <v>0</v>
      </c>
      <c r="W79" s="392">
        <f t="shared" si="76"/>
        <v>0</v>
      </c>
      <c r="X79" s="392">
        <f t="shared" si="76"/>
        <v>1523579.7499999998</v>
      </c>
      <c r="Y79" s="392">
        <f t="shared" si="76"/>
        <v>0</v>
      </c>
      <c r="Z79" s="392">
        <f t="shared" si="76"/>
        <v>613394.68</v>
      </c>
      <c r="AA79" s="392">
        <f t="shared" si="76"/>
        <v>0</v>
      </c>
      <c r="AB79" s="392">
        <f t="shared" si="76"/>
        <v>0</v>
      </c>
      <c r="AC79" s="392">
        <f t="shared" si="76"/>
        <v>0</v>
      </c>
      <c r="AD79" s="392">
        <f t="shared" si="76"/>
        <v>2136974.4299999997</v>
      </c>
      <c r="AE79" s="529">
        <f t="shared" si="76"/>
        <v>0</v>
      </c>
      <c r="AF79" s="392">
        <f>SUM(AF80)</f>
        <v>4681134.16</v>
      </c>
      <c r="AG79" s="392">
        <f t="shared" si="76"/>
        <v>0</v>
      </c>
      <c r="AH79" s="392">
        <f t="shared" si="76"/>
        <v>0</v>
      </c>
      <c r="AI79" s="392">
        <f t="shared" si="76"/>
        <v>0</v>
      </c>
      <c r="AJ79" s="392">
        <f t="shared" si="76"/>
        <v>6818108.590000002</v>
      </c>
      <c r="AK79" s="392">
        <f t="shared" si="76"/>
        <v>0</v>
      </c>
      <c r="AL79" s="392">
        <f t="shared" si="76"/>
        <v>86262.23000000001</v>
      </c>
      <c r="AM79" s="393">
        <f t="shared" si="76"/>
        <v>0</v>
      </c>
      <c r="AN79" s="393">
        <f t="shared" si="76"/>
        <v>0</v>
      </c>
      <c r="AO79" s="392">
        <f t="shared" si="76"/>
        <v>0</v>
      </c>
      <c r="AP79" s="392">
        <f t="shared" si="76"/>
        <v>6904370.820000001</v>
      </c>
      <c r="AQ79" s="392">
        <f t="shared" si="76"/>
        <v>0</v>
      </c>
      <c r="AR79" s="392">
        <f t="shared" si="76"/>
        <v>0</v>
      </c>
      <c r="AS79" s="392">
        <f t="shared" si="76"/>
        <v>0</v>
      </c>
      <c r="AT79" s="392">
        <f t="shared" si="76"/>
        <v>0</v>
      </c>
      <c r="AU79" s="392">
        <f t="shared" si="76"/>
        <v>0</v>
      </c>
      <c r="AV79" s="392">
        <f t="shared" si="76"/>
        <v>6904370.820000001</v>
      </c>
      <c r="AW79" s="392">
        <f t="shared" si="76"/>
        <v>0</v>
      </c>
      <c r="AX79" s="392">
        <f t="shared" si="76"/>
        <v>3832369.9599999995</v>
      </c>
      <c r="AY79" s="392">
        <f t="shared" si="76"/>
        <v>0</v>
      </c>
      <c r="AZ79" s="392">
        <f t="shared" si="76"/>
        <v>0</v>
      </c>
      <c r="BA79" s="392">
        <f t="shared" si="76"/>
        <v>0</v>
      </c>
      <c r="BB79" s="392">
        <f t="shared" si="76"/>
        <v>10736740.78</v>
      </c>
      <c r="BC79" s="392">
        <f t="shared" si="76"/>
        <v>0</v>
      </c>
      <c r="BD79" s="392">
        <f>SUM(BD80)</f>
        <v>682415.94</v>
      </c>
      <c r="BE79" s="392">
        <f t="shared" si="76"/>
        <v>0</v>
      </c>
      <c r="BF79" s="392">
        <f t="shared" si="76"/>
        <v>0</v>
      </c>
      <c r="BG79" s="392">
        <f>SUM(BG80)</f>
        <v>0</v>
      </c>
      <c r="BH79" s="392">
        <f>SUM(BH80)</f>
        <v>11419156.719999999</v>
      </c>
      <c r="BI79" s="392">
        <f t="shared" si="76"/>
        <v>0</v>
      </c>
      <c r="BJ79" s="392">
        <f t="shared" si="76"/>
        <v>1896648.7399999998</v>
      </c>
      <c r="BK79" s="392">
        <f t="shared" si="76"/>
        <v>0</v>
      </c>
      <c r="BL79" s="392">
        <f t="shared" si="76"/>
        <v>0</v>
      </c>
      <c r="BM79" s="392">
        <f t="shared" si="76"/>
        <v>0</v>
      </c>
      <c r="BN79" s="392">
        <f>SUM(BN80)</f>
        <v>13315805.459999999</v>
      </c>
      <c r="BO79" s="392">
        <f t="shared" si="76"/>
        <v>0</v>
      </c>
      <c r="BP79" s="392">
        <f t="shared" si="76"/>
        <v>658875.09</v>
      </c>
      <c r="BQ79" s="392">
        <f t="shared" si="76"/>
        <v>0</v>
      </c>
      <c r="BR79" s="392">
        <f aca="true" t="shared" si="77" ref="BR79:CD79">SUM(BR80)</f>
        <v>0</v>
      </c>
      <c r="BS79" s="392">
        <f t="shared" si="77"/>
        <v>0</v>
      </c>
      <c r="BT79" s="392">
        <f t="shared" si="77"/>
        <v>13974680.549999999</v>
      </c>
      <c r="BU79" s="392">
        <f t="shared" si="77"/>
        <v>0</v>
      </c>
      <c r="BV79" s="392">
        <f t="shared" si="77"/>
        <v>1311760.38</v>
      </c>
      <c r="BW79" s="392">
        <f t="shared" si="77"/>
        <v>0</v>
      </c>
      <c r="BX79" s="392">
        <f t="shared" si="77"/>
        <v>0</v>
      </c>
      <c r="BY79" s="392">
        <f t="shared" si="77"/>
        <v>0</v>
      </c>
      <c r="BZ79" s="392">
        <f t="shared" si="77"/>
        <v>15286440.929999998</v>
      </c>
      <c r="CA79" s="392">
        <f t="shared" si="77"/>
        <v>15966940.39</v>
      </c>
      <c r="CB79" s="392">
        <f t="shared" si="77"/>
        <v>0</v>
      </c>
      <c r="CC79" s="392">
        <f t="shared" si="77"/>
        <v>0</v>
      </c>
      <c r="CD79" s="392">
        <f t="shared" si="77"/>
        <v>-680499.4600000004</v>
      </c>
      <c r="CE79" s="404"/>
      <c r="CF79" s="404"/>
    </row>
    <row r="80" spans="1:84" s="405" customFormat="1" ht="15.75">
      <c r="A80" s="396"/>
      <c r="B80" s="397" t="s">
        <v>110</v>
      </c>
      <c r="C80" s="397"/>
      <c r="D80" s="397"/>
      <c r="E80" s="398">
        <f aca="true" t="shared" si="78" ref="E80:M80">SUM(E81:E89)</f>
        <v>0</v>
      </c>
      <c r="F80" s="398">
        <f t="shared" si="78"/>
        <v>0</v>
      </c>
      <c r="G80" s="398">
        <f t="shared" si="78"/>
        <v>0</v>
      </c>
      <c r="H80" s="398">
        <f>SUM(H81:H89)</f>
        <v>628976.3200000001</v>
      </c>
      <c r="I80" s="398">
        <f t="shared" si="78"/>
        <v>0</v>
      </c>
      <c r="J80" s="398">
        <f t="shared" si="78"/>
        <v>0</v>
      </c>
      <c r="K80" s="398">
        <f t="shared" si="78"/>
        <v>0</v>
      </c>
      <c r="L80" s="398">
        <f>SUM(L81:L89)</f>
        <v>628976.3200000001</v>
      </c>
      <c r="M80" s="398">
        <f t="shared" si="78"/>
        <v>0</v>
      </c>
      <c r="N80" s="398">
        <f>SUM(N81:N89)</f>
        <v>777193.98</v>
      </c>
      <c r="O80" s="398"/>
      <c r="P80" s="398"/>
      <c r="Q80" s="398">
        <f>SUM(Q81:Q89)</f>
        <v>0</v>
      </c>
      <c r="R80" s="398">
        <f>SUM(R81:R89)</f>
        <v>1406170.3</v>
      </c>
      <c r="S80" s="398">
        <f>SUM(S81:S89)</f>
        <v>0</v>
      </c>
      <c r="T80" s="398">
        <f>SUM(T81:T89)</f>
        <v>117409.45</v>
      </c>
      <c r="U80" s="398"/>
      <c r="V80" s="398"/>
      <c r="W80" s="398">
        <f>SUM(W81:W89)</f>
        <v>0</v>
      </c>
      <c r="X80" s="398">
        <f>SUM(X81:X89)</f>
        <v>1523579.7499999998</v>
      </c>
      <c r="Y80" s="398">
        <f>SUM(Y81:Y89)</f>
        <v>0</v>
      </c>
      <c r="Z80" s="398">
        <f>SUM(Z81:Z89)</f>
        <v>613394.68</v>
      </c>
      <c r="AA80" s="398"/>
      <c r="AB80" s="398"/>
      <c r="AC80" s="398">
        <f>SUM(AC81:AC89)</f>
        <v>0</v>
      </c>
      <c r="AD80" s="398">
        <f>SUM(AD81:AD89)</f>
        <v>2136974.4299999997</v>
      </c>
      <c r="AE80" s="530">
        <f>SUM(AE81:AE89)</f>
        <v>0</v>
      </c>
      <c r="AF80" s="398">
        <f>SUM(AF81:AF89)</f>
        <v>4681134.16</v>
      </c>
      <c r="AG80" s="398"/>
      <c r="AH80" s="398"/>
      <c r="AI80" s="398">
        <f>SUM(AI81:AI89)</f>
        <v>0</v>
      </c>
      <c r="AJ80" s="398">
        <f>SUM(AJ81:AJ89)</f>
        <v>6818108.590000002</v>
      </c>
      <c r="AK80" s="398">
        <f>SUM(AK81:AK89)</f>
        <v>0</v>
      </c>
      <c r="AL80" s="398">
        <f>SUM(AL81:AL89)</f>
        <v>86262.23000000001</v>
      </c>
      <c r="AM80" s="399"/>
      <c r="AN80" s="399"/>
      <c r="AO80" s="398">
        <f>SUM(AO81:AO89)</f>
        <v>0</v>
      </c>
      <c r="AP80" s="398">
        <f>SUM(AP81:AP89)</f>
        <v>6904370.820000001</v>
      </c>
      <c r="AQ80" s="398">
        <f>SUM(AQ81:AQ89)</f>
        <v>0</v>
      </c>
      <c r="AR80" s="398">
        <f>SUM(AR81:AR89)</f>
        <v>0</v>
      </c>
      <c r="AS80" s="398"/>
      <c r="AT80" s="398"/>
      <c r="AU80" s="398">
        <f aca="true" t="shared" si="79" ref="AU80:BD80">SUM(AU81:AU89)</f>
        <v>0</v>
      </c>
      <c r="AV80" s="398">
        <f t="shared" si="79"/>
        <v>6904370.820000001</v>
      </c>
      <c r="AW80" s="398">
        <f t="shared" si="79"/>
        <v>0</v>
      </c>
      <c r="AX80" s="398">
        <f t="shared" si="79"/>
        <v>3832369.9599999995</v>
      </c>
      <c r="AY80" s="398">
        <f t="shared" si="79"/>
        <v>0</v>
      </c>
      <c r="AZ80" s="398">
        <f t="shared" si="79"/>
        <v>0</v>
      </c>
      <c r="BA80" s="398">
        <f t="shared" si="79"/>
        <v>0</v>
      </c>
      <c r="BB80" s="398">
        <f t="shared" si="79"/>
        <v>10736740.78</v>
      </c>
      <c r="BC80" s="398">
        <f t="shared" si="79"/>
        <v>0</v>
      </c>
      <c r="BD80" s="398">
        <f t="shared" si="79"/>
        <v>682415.94</v>
      </c>
      <c r="BE80" s="398"/>
      <c r="BF80" s="398"/>
      <c r="BG80" s="398">
        <f>SUM(BG81:BG89)</f>
        <v>0</v>
      </c>
      <c r="BH80" s="398">
        <f>SUM(BH81:BH89)</f>
        <v>11419156.719999999</v>
      </c>
      <c r="BI80" s="398">
        <f>SUM(BI81:BI89)</f>
        <v>0</v>
      </c>
      <c r="BJ80" s="398">
        <f>SUM(BJ81:BJ89)</f>
        <v>1896648.7399999998</v>
      </c>
      <c r="BK80" s="398"/>
      <c r="BL80" s="398"/>
      <c r="BM80" s="398">
        <f>SUM(BM81:BM89)</f>
        <v>0</v>
      </c>
      <c r="BN80" s="398">
        <f>SUM(BN81:BN89)</f>
        <v>13315805.459999999</v>
      </c>
      <c r="BO80" s="398">
        <f>SUM(BO81:BO89)</f>
        <v>0</v>
      </c>
      <c r="BP80" s="398">
        <f>SUM(BP81:BP89)</f>
        <v>658875.09</v>
      </c>
      <c r="BQ80" s="398"/>
      <c r="BR80" s="398"/>
      <c r="BS80" s="398">
        <f>SUM(BS81:BS89)</f>
        <v>0</v>
      </c>
      <c r="BT80" s="398">
        <f>SUM(BT81:BT89)</f>
        <v>13974680.549999999</v>
      </c>
      <c r="BU80" s="398">
        <f>SUM(BU81:BU89)</f>
        <v>0</v>
      </c>
      <c r="BV80" s="398">
        <f>SUM(BV81:BV89)</f>
        <v>1311760.38</v>
      </c>
      <c r="BW80" s="398"/>
      <c r="BX80" s="398"/>
      <c r="BY80" s="398">
        <f>SUM(BY81:BY89)</f>
        <v>0</v>
      </c>
      <c r="BZ80" s="398">
        <f>SUM(BZ81:BZ89)</f>
        <v>15286440.929999998</v>
      </c>
      <c r="CA80" s="398">
        <f>SUM(CA81:CA89)</f>
        <v>15966940.39</v>
      </c>
      <c r="CB80" s="398">
        <f>SUM(CB81:CB89)</f>
        <v>0</v>
      </c>
      <c r="CC80" s="398">
        <f>SUM(CC81:CC89)</f>
        <v>0</v>
      </c>
      <c r="CD80" s="398">
        <f>SUM(CD81:CD89)</f>
        <v>-680499.4600000004</v>
      </c>
      <c r="CE80" s="404"/>
      <c r="CF80" s="404"/>
    </row>
    <row r="81" spans="1:82" ht="15.75">
      <c r="A81" s="40"/>
      <c r="B81" s="41"/>
      <c r="C81" s="41" t="s">
        <v>311</v>
      </c>
      <c r="D81" s="41"/>
      <c r="E81" s="42"/>
      <c r="F81" s="42"/>
      <c r="G81" s="42"/>
      <c r="H81" s="42"/>
      <c r="I81" s="42"/>
      <c r="J81" s="42"/>
      <c r="K81" s="42"/>
      <c r="L81" s="42">
        <f aca="true" t="shared" si="80" ref="L81:L89">SUM(F81-G81+H81-I81+J81)</f>
        <v>0</v>
      </c>
      <c r="M81" s="42"/>
      <c r="N81" s="42"/>
      <c r="O81" s="42"/>
      <c r="P81" s="42"/>
      <c r="Q81" s="42"/>
      <c r="R81" s="42">
        <f aca="true" t="shared" si="81" ref="R81:R89">SUM(L81-M81+N81-O81+P81)</f>
        <v>0</v>
      </c>
      <c r="S81" s="42"/>
      <c r="T81" s="42">
        <v>0</v>
      </c>
      <c r="U81" s="42"/>
      <c r="V81" s="42"/>
      <c r="W81" s="42"/>
      <c r="X81" s="42">
        <f aca="true" t="shared" si="82" ref="X81:X89">SUM(R81-S81+T81-U81+V81)</f>
        <v>0</v>
      </c>
      <c r="Y81" s="42"/>
      <c r="Z81" s="42"/>
      <c r="AA81" s="42"/>
      <c r="AB81" s="42"/>
      <c r="AC81" s="42"/>
      <c r="AD81" s="42">
        <f aca="true" t="shared" si="83" ref="AD81:AD89">SUM(X81-Y81+Z81-AA81+AB81)</f>
        <v>0</v>
      </c>
      <c r="AE81" s="526"/>
      <c r="AF81" s="42">
        <v>3877298.31</v>
      </c>
      <c r="AG81" s="42"/>
      <c r="AH81" s="42"/>
      <c r="AI81" s="42"/>
      <c r="AJ81" s="42">
        <f aca="true" t="shared" si="84" ref="AJ81:AJ89">SUM(AD81-AE81+AF81-AG81+AH81)</f>
        <v>3877298.31</v>
      </c>
      <c r="AK81" s="42"/>
      <c r="AL81" s="42">
        <v>0</v>
      </c>
      <c r="AM81" s="42"/>
      <c r="AN81" s="42"/>
      <c r="AO81" s="42"/>
      <c r="AP81" s="42">
        <f aca="true" t="shared" si="85" ref="AP81:AP89">SUM(AJ81-AK81+AL81-AM81+AN81)</f>
        <v>3877298.31</v>
      </c>
      <c r="AQ81" s="42"/>
      <c r="AR81" s="42"/>
      <c r="AS81" s="42"/>
      <c r="AT81" s="42"/>
      <c r="AU81" s="42"/>
      <c r="AV81" s="42">
        <f aca="true" t="shared" si="86" ref="AV81:AV89">SUM(AP81-AQ81+AR81-AS81+AT81)</f>
        <v>3877298.31</v>
      </c>
      <c r="AW81" s="42"/>
      <c r="AX81" s="42">
        <v>3115798.63</v>
      </c>
      <c r="AY81" s="42"/>
      <c r="AZ81" s="42"/>
      <c r="BA81" s="42"/>
      <c r="BB81" s="42">
        <f aca="true" t="shared" si="87" ref="BB81:BB89">SUM(AV81-AW81+AX81-AY81+AZ81)</f>
        <v>6993096.9399999995</v>
      </c>
      <c r="BC81" s="42"/>
      <c r="BD81" s="42">
        <v>0</v>
      </c>
      <c r="BE81" s="42"/>
      <c r="BF81" s="42"/>
      <c r="BG81" s="42"/>
      <c r="BH81" s="42">
        <f aca="true" t="shared" si="88" ref="BH81:BH89">SUM(BB81-BC81+BD81-BE81+BF81)</f>
        <v>6993096.9399999995</v>
      </c>
      <c r="BI81" s="42"/>
      <c r="BJ81" s="42">
        <v>1220150.44</v>
      </c>
      <c r="BK81" s="42"/>
      <c r="BL81" s="42"/>
      <c r="BM81" s="42"/>
      <c r="BN81" s="42">
        <f aca="true" t="shared" si="89" ref="BN81:BN89">SUM(BH81-BI81+BJ81-BK81+BL81)</f>
        <v>8213247.379999999</v>
      </c>
      <c r="BO81" s="42"/>
      <c r="BP81" s="42"/>
      <c r="BQ81" s="42"/>
      <c r="BR81" s="42"/>
      <c r="BS81" s="42"/>
      <c r="BT81" s="42">
        <f aca="true" t="shared" si="90" ref="BT81:BT89">SUM(BN81-BO81+BP81-BQ81+BR81)</f>
        <v>8213247.379999999</v>
      </c>
      <c r="BU81" s="42"/>
      <c r="BV81" s="42">
        <v>608851.4</v>
      </c>
      <c r="BW81" s="42"/>
      <c r="BX81" s="42"/>
      <c r="BY81" s="42"/>
      <c r="BZ81" s="42">
        <f aca="true" t="shared" si="91" ref="BZ81:BZ89">SUM(BT81-BU81+BV81-BW81+BX81)</f>
        <v>8822098.78</v>
      </c>
      <c r="CA81" s="42">
        <v>7471963.6</v>
      </c>
      <c r="CB81" s="42"/>
      <c r="CC81" s="42"/>
      <c r="CD81" s="15">
        <f>SUM(BX81-BY81+BZ81-CA81+CB81)</f>
        <v>1350135.1799999997</v>
      </c>
    </row>
    <row r="82" spans="1:82" ht="15.75">
      <c r="A82" s="43"/>
      <c r="B82" s="44"/>
      <c r="C82" s="44" t="s">
        <v>67</v>
      </c>
      <c r="D82" s="44"/>
      <c r="E82" s="45"/>
      <c r="F82" s="45"/>
      <c r="G82" s="45"/>
      <c r="H82" s="45">
        <v>251277.81</v>
      </c>
      <c r="I82" s="45"/>
      <c r="J82" s="45"/>
      <c r="K82" s="45"/>
      <c r="L82" s="45">
        <f t="shared" si="80"/>
        <v>251277.81</v>
      </c>
      <c r="M82" s="45"/>
      <c r="N82" s="45">
        <v>331312.14</v>
      </c>
      <c r="O82" s="45"/>
      <c r="P82" s="45"/>
      <c r="Q82" s="45"/>
      <c r="R82" s="45">
        <f t="shared" si="81"/>
        <v>582589.95</v>
      </c>
      <c r="S82" s="45"/>
      <c r="T82" s="45">
        <v>0</v>
      </c>
      <c r="U82" s="45"/>
      <c r="V82" s="45"/>
      <c r="W82" s="45"/>
      <c r="X82" s="45">
        <f t="shared" si="82"/>
        <v>582589.95</v>
      </c>
      <c r="Y82" s="45"/>
      <c r="Z82" s="45">
        <v>228309.12</v>
      </c>
      <c r="AA82" s="45"/>
      <c r="AB82" s="45"/>
      <c r="AC82" s="45"/>
      <c r="AD82" s="45">
        <f t="shared" si="83"/>
        <v>810899.07</v>
      </c>
      <c r="AE82" s="527"/>
      <c r="AF82" s="45">
        <v>305521.44</v>
      </c>
      <c r="AG82" s="45"/>
      <c r="AH82" s="45"/>
      <c r="AI82" s="45"/>
      <c r="AJ82" s="45">
        <f t="shared" si="84"/>
        <v>1116420.51</v>
      </c>
      <c r="AK82" s="45"/>
      <c r="AL82" s="45">
        <v>0</v>
      </c>
      <c r="AM82" s="45"/>
      <c r="AN82" s="45"/>
      <c r="AO82" s="45"/>
      <c r="AP82" s="45">
        <f t="shared" si="85"/>
        <v>1116420.51</v>
      </c>
      <c r="AQ82" s="45"/>
      <c r="AR82" s="45"/>
      <c r="AS82" s="45"/>
      <c r="AT82" s="45"/>
      <c r="AU82" s="45"/>
      <c r="AV82" s="45">
        <f t="shared" si="86"/>
        <v>1116420.51</v>
      </c>
      <c r="AW82" s="45"/>
      <c r="AX82" s="45">
        <v>270501.86</v>
      </c>
      <c r="AY82" s="45"/>
      <c r="AZ82" s="45"/>
      <c r="BA82" s="45"/>
      <c r="BB82" s="45">
        <f t="shared" si="87"/>
        <v>1386922.37</v>
      </c>
      <c r="BC82" s="45"/>
      <c r="BD82" s="45">
        <v>256805.17</v>
      </c>
      <c r="BE82" s="45"/>
      <c r="BF82" s="45"/>
      <c r="BG82" s="45"/>
      <c r="BH82" s="45">
        <f t="shared" si="88"/>
        <v>1643727.54</v>
      </c>
      <c r="BI82" s="45"/>
      <c r="BJ82" s="45">
        <v>228165.44</v>
      </c>
      <c r="BK82" s="45"/>
      <c r="BL82" s="45"/>
      <c r="BM82" s="45"/>
      <c r="BN82" s="45">
        <f t="shared" si="89"/>
        <v>1871892.98</v>
      </c>
      <c r="BO82" s="45"/>
      <c r="BP82" s="45">
        <v>259258.77</v>
      </c>
      <c r="BQ82" s="45"/>
      <c r="BR82" s="45"/>
      <c r="BS82" s="45"/>
      <c r="BT82" s="45">
        <f t="shared" si="90"/>
        <v>2131151.75</v>
      </c>
      <c r="BU82" s="45"/>
      <c r="BV82" s="45">
        <v>310816.07</v>
      </c>
      <c r="BW82" s="45"/>
      <c r="BX82" s="45"/>
      <c r="BY82" s="45"/>
      <c r="BZ82" s="45">
        <f t="shared" si="91"/>
        <v>2441967.82</v>
      </c>
      <c r="CA82" s="45">
        <v>3142359.57</v>
      </c>
      <c r="CB82" s="45"/>
      <c r="CC82" s="45"/>
      <c r="CD82" s="45">
        <f>+BZ82-CA82</f>
        <v>-700391.75</v>
      </c>
    </row>
    <row r="83" spans="1:82" ht="15.75">
      <c r="A83" s="43"/>
      <c r="B83" s="44"/>
      <c r="C83" s="44" t="s">
        <v>46</v>
      </c>
      <c r="D83" s="44"/>
      <c r="E83" s="45"/>
      <c r="F83" s="45"/>
      <c r="G83" s="45"/>
      <c r="H83" s="45"/>
      <c r="I83" s="45"/>
      <c r="J83" s="45"/>
      <c r="K83" s="45"/>
      <c r="L83" s="45">
        <f t="shared" si="80"/>
        <v>0</v>
      </c>
      <c r="M83" s="45"/>
      <c r="N83" s="45"/>
      <c r="O83" s="45"/>
      <c r="P83" s="45"/>
      <c r="Q83" s="45"/>
      <c r="R83" s="45">
        <f t="shared" si="81"/>
        <v>0</v>
      </c>
      <c r="S83" s="45"/>
      <c r="T83" s="45">
        <v>34533.45</v>
      </c>
      <c r="U83" s="45"/>
      <c r="V83" s="45"/>
      <c r="W83" s="45"/>
      <c r="X83" s="45">
        <f t="shared" si="82"/>
        <v>34533.45</v>
      </c>
      <c r="Y83" s="45"/>
      <c r="Z83" s="45"/>
      <c r="AA83" s="45"/>
      <c r="AB83" s="45"/>
      <c r="AC83" s="45"/>
      <c r="AD83" s="45">
        <f t="shared" si="83"/>
        <v>34533.45</v>
      </c>
      <c r="AE83" s="527"/>
      <c r="AF83" s="527"/>
      <c r="AG83" s="45"/>
      <c r="AH83" s="45"/>
      <c r="AI83" s="45"/>
      <c r="AJ83" s="45">
        <f t="shared" si="84"/>
        <v>34533.45</v>
      </c>
      <c r="AK83" s="45"/>
      <c r="AL83" s="45">
        <v>35236.23</v>
      </c>
      <c r="AM83" s="45"/>
      <c r="AN83" s="45"/>
      <c r="AO83" s="45"/>
      <c r="AP83" s="45">
        <f t="shared" si="85"/>
        <v>69769.68</v>
      </c>
      <c r="AQ83" s="45"/>
      <c r="AR83" s="45"/>
      <c r="AS83" s="45"/>
      <c r="AT83" s="45"/>
      <c r="AU83" s="45"/>
      <c r="AV83" s="45">
        <f t="shared" si="86"/>
        <v>69769.68</v>
      </c>
      <c r="AW83" s="45"/>
      <c r="AX83" s="45">
        <v>0</v>
      </c>
      <c r="AY83" s="45"/>
      <c r="AZ83" s="45"/>
      <c r="BA83" s="45"/>
      <c r="BB83" s="45">
        <f t="shared" si="87"/>
        <v>69769.68</v>
      </c>
      <c r="BC83" s="45"/>
      <c r="BD83" s="45"/>
      <c r="BE83" s="45"/>
      <c r="BF83" s="45"/>
      <c r="BG83" s="45"/>
      <c r="BH83" s="45">
        <f t="shared" si="88"/>
        <v>69769.68</v>
      </c>
      <c r="BI83" s="45"/>
      <c r="BJ83" s="45">
        <v>0</v>
      </c>
      <c r="BK83" s="45"/>
      <c r="BL83" s="45"/>
      <c r="BM83" s="45"/>
      <c r="BN83" s="45">
        <f t="shared" si="89"/>
        <v>69769.68</v>
      </c>
      <c r="BO83" s="45"/>
      <c r="BP83" s="45"/>
      <c r="BQ83" s="45"/>
      <c r="BR83" s="45"/>
      <c r="BS83" s="45"/>
      <c r="BT83" s="45">
        <f t="shared" si="90"/>
        <v>69769.68</v>
      </c>
      <c r="BU83" s="45"/>
      <c r="BV83" s="45">
        <v>62950.74</v>
      </c>
      <c r="BW83" s="45"/>
      <c r="BX83" s="45"/>
      <c r="BY83" s="45"/>
      <c r="BZ83" s="45">
        <f t="shared" si="91"/>
        <v>132720.41999999998</v>
      </c>
      <c r="CA83" s="45">
        <v>131980.31</v>
      </c>
      <c r="CB83" s="45"/>
      <c r="CC83" s="45"/>
      <c r="CD83" s="45">
        <f>SUM(BX83-BY83+BZ83-CA83+CB83)</f>
        <v>740.109999999986</v>
      </c>
    </row>
    <row r="84" spans="1:82" ht="15.75">
      <c r="A84" s="43"/>
      <c r="B84" s="44"/>
      <c r="C84" s="44" t="s">
        <v>44</v>
      </c>
      <c r="D84" s="44"/>
      <c r="E84" s="45"/>
      <c r="F84" s="45"/>
      <c r="G84" s="45"/>
      <c r="H84" s="45">
        <v>89716.27</v>
      </c>
      <c r="I84" s="45"/>
      <c r="J84" s="45"/>
      <c r="K84" s="45"/>
      <c r="L84" s="45">
        <f t="shared" si="80"/>
        <v>89716.27</v>
      </c>
      <c r="M84" s="45"/>
      <c r="N84" s="45">
        <v>188583</v>
      </c>
      <c r="O84" s="45"/>
      <c r="P84" s="45"/>
      <c r="Q84" s="45"/>
      <c r="R84" s="45">
        <f t="shared" si="81"/>
        <v>278299.27</v>
      </c>
      <c r="S84" s="45"/>
      <c r="T84" s="45">
        <v>0</v>
      </c>
      <c r="U84" s="45"/>
      <c r="V84" s="45"/>
      <c r="W84" s="45"/>
      <c r="X84" s="45">
        <f t="shared" si="82"/>
        <v>278299.27</v>
      </c>
      <c r="Y84" s="45"/>
      <c r="Z84" s="45">
        <v>154014.39</v>
      </c>
      <c r="AA84" s="45"/>
      <c r="AB84" s="45"/>
      <c r="AC84" s="45"/>
      <c r="AD84" s="45">
        <f t="shared" si="83"/>
        <v>432313.66000000003</v>
      </c>
      <c r="AE84" s="527"/>
      <c r="AF84" s="45">
        <v>205483.83</v>
      </c>
      <c r="AG84" s="45"/>
      <c r="AH84" s="45"/>
      <c r="AI84" s="45"/>
      <c r="AJ84" s="45">
        <f t="shared" si="84"/>
        <v>637797.49</v>
      </c>
      <c r="AK84" s="45"/>
      <c r="AL84" s="45">
        <v>0</v>
      </c>
      <c r="AM84" s="45"/>
      <c r="AN84" s="45"/>
      <c r="AO84" s="45"/>
      <c r="AP84" s="45">
        <f t="shared" si="85"/>
        <v>637797.49</v>
      </c>
      <c r="AQ84" s="45"/>
      <c r="AR84" s="45"/>
      <c r="AS84" s="45"/>
      <c r="AT84" s="45"/>
      <c r="AU84" s="45"/>
      <c r="AV84" s="45">
        <f t="shared" si="86"/>
        <v>637797.49</v>
      </c>
      <c r="AW84" s="45"/>
      <c r="AX84" s="45">
        <v>116220.92</v>
      </c>
      <c r="AY84" s="45"/>
      <c r="AZ84" s="45"/>
      <c r="BA84" s="45"/>
      <c r="BB84" s="45">
        <f t="shared" si="87"/>
        <v>754018.41</v>
      </c>
      <c r="BC84" s="45"/>
      <c r="BD84" s="45">
        <v>122073.27</v>
      </c>
      <c r="BE84" s="45"/>
      <c r="BF84" s="45"/>
      <c r="BG84" s="45"/>
      <c r="BH84" s="45">
        <f t="shared" si="88"/>
        <v>876091.68</v>
      </c>
      <c r="BI84" s="45"/>
      <c r="BJ84" s="45">
        <v>109187.47</v>
      </c>
      <c r="BL84" s="45"/>
      <c r="BM84" s="45"/>
      <c r="BN84" s="45">
        <f>SUM(BH84-BI84+BJ84-BK84+BL84)</f>
        <v>985279.15</v>
      </c>
      <c r="BO84" s="45"/>
      <c r="BP84" s="45">
        <v>92230.24</v>
      </c>
      <c r="BQ84" s="45"/>
      <c r="BR84" s="45"/>
      <c r="BS84" s="45"/>
      <c r="BT84" s="45">
        <f t="shared" si="90"/>
        <v>1077509.3900000001</v>
      </c>
      <c r="BU84" s="45"/>
      <c r="BV84" s="45">
        <v>98804.65</v>
      </c>
      <c r="BW84" s="45"/>
      <c r="BX84" s="45"/>
      <c r="BY84" s="45"/>
      <c r="BZ84" s="45">
        <f t="shared" si="91"/>
        <v>1176314.04</v>
      </c>
      <c r="CA84" s="45">
        <v>1375244.25</v>
      </c>
      <c r="CB84" s="45"/>
      <c r="CC84" s="45"/>
      <c r="CD84" s="45">
        <f>+BZ84-CA84</f>
        <v>-198930.20999999996</v>
      </c>
    </row>
    <row r="85" spans="1:82" ht="15.75">
      <c r="A85" s="43"/>
      <c r="B85" s="44"/>
      <c r="C85" s="44" t="s">
        <v>45</v>
      </c>
      <c r="D85" s="44"/>
      <c r="E85" s="45"/>
      <c r="F85" s="45"/>
      <c r="G85" s="45"/>
      <c r="H85" s="45">
        <v>201289.29</v>
      </c>
      <c r="I85" s="45"/>
      <c r="J85" s="45"/>
      <c r="K85" s="45"/>
      <c r="L85" s="45">
        <f t="shared" si="80"/>
        <v>201289.29</v>
      </c>
      <c r="M85" s="45"/>
      <c r="N85" s="45">
        <v>206019.84</v>
      </c>
      <c r="O85" s="45"/>
      <c r="P85" s="45"/>
      <c r="Q85" s="45"/>
      <c r="R85" s="45">
        <f>SUM(L85-M85+N85-O85+P85)</f>
        <v>407309.13</v>
      </c>
      <c r="S85" s="45"/>
      <c r="T85" s="45">
        <v>0</v>
      </c>
      <c r="U85" s="45"/>
      <c r="V85" s="45"/>
      <c r="W85" s="45"/>
      <c r="X85" s="45">
        <f t="shared" si="82"/>
        <v>407309.13</v>
      </c>
      <c r="Y85" s="45"/>
      <c r="Z85" s="45">
        <v>187616.17</v>
      </c>
      <c r="AA85" s="45"/>
      <c r="AB85" s="45"/>
      <c r="AC85" s="45"/>
      <c r="AD85" s="45">
        <f t="shared" si="83"/>
        <v>594925.3</v>
      </c>
      <c r="AE85" s="527"/>
      <c r="AF85" s="45">
        <v>233446.73</v>
      </c>
      <c r="AG85" s="45"/>
      <c r="AH85" s="45"/>
      <c r="AI85" s="45"/>
      <c r="AJ85" s="45">
        <f t="shared" si="84"/>
        <v>828372.03</v>
      </c>
      <c r="AK85" s="45"/>
      <c r="AL85" s="45">
        <v>0</v>
      </c>
      <c r="AM85" s="45"/>
      <c r="AN85" s="45"/>
      <c r="AO85" s="45"/>
      <c r="AP85" s="45">
        <f t="shared" si="85"/>
        <v>828372.03</v>
      </c>
      <c r="AQ85" s="45"/>
      <c r="AR85" s="45"/>
      <c r="AS85" s="45"/>
      <c r="AT85" s="45"/>
      <c r="AU85" s="45"/>
      <c r="AV85" s="45">
        <f t="shared" si="86"/>
        <v>828372.03</v>
      </c>
      <c r="AW85" s="45"/>
      <c r="AX85" s="45">
        <v>254195.29</v>
      </c>
      <c r="AY85" s="45"/>
      <c r="AZ85" s="45"/>
      <c r="BA85" s="45"/>
      <c r="BB85" s="45">
        <f t="shared" si="87"/>
        <v>1082567.32</v>
      </c>
      <c r="BC85" s="45"/>
      <c r="BD85" s="45">
        <v>224876.5</v>
      </c>
      <c r="BE85" s="45"/>
      <c r="BF85" s="45"/>
      <c r="BG85" s="45"/>
      <c r="BH85" s="45">
        <f t="shared" si="88"/>
        <v>1307443.82</v>
      </c>
      <c r="BI85" s="45"/>
      <c r="BJ85" s="45">
        <v>244085.98</v>
      </c>
      <c r="BK85" s="45"/>
      <c r="BL85" s="45"/>
      <c r="BM85" s="45"/>
      <c r="BN85" s="45">
        <f t="shared" si="89"/>
        <v>1551529.8</v>
      </c>
      <c r="BO85" s="45"/>
      <c r="BP85" s="45">
        <v>207841.93</v>
      </c>
      <c r="BQ85" s="45"/>
      <c r="BR85" s="45"/>
      <c r="BS85" s="45"/>
      <c r="BT85" s="45">
        <f t="shared" si="90"/>
        <v>1759371.73</v>
      </c>
      <c r="BU85" s="45"/>
      <c r="BV85" s="45">
        <v>213979.52</v>
      </c>
      <c r="BW85" s="45"/>
      <c r="BX85" s="45"/>
      <c r="BY85" s="45"/>
      <c r="BZ85" s="45">
        <f t="shared" si="91"/>
        <v>1973351.25</v>
      </c>
      <c r="CA85" s="45">
        <v>3006755.45</v>
      </c>
      <c r="CB85" s="45"/>
      <c r="CC85" s="45"/>
      <c r="CD85" s="45">
        <f>+BZ85-CA85</f>
        <v>-1033404.2000000002</v>
      </c>
    </row>
    <row r="86" spans="1:82" ht="15.75">
      <c r="A86" s="43"/>
      <c r="B86" s="44"/>
      <c r="C86" s="44" t="s">
        <v>47</v>
      </c>
      <c r="D86" s="44"/>
      <c r="E86" s="45"/>
      <c r="F86" s="45"/>
      <c r="G86" s="45"/>
      <c r="H86" s="45">
        <v>33848.69</v>
      </c>
      <c r="I86" s="45"/>
      <c r="J86" s="45"/>
      <c r="K86" s="45"/>
      <c r="L86" s="45">
        <f t="shared" si="80"/>
        <v>33848.69</v>
      </c>
      <c r="M86" s="45"/>
      <c r="N86" s="45"/>
      <c r="O86" s="45"/>
      <c r="P86" s="45"/>
      <c r="Q86" s="45"/>
      <c r="R86" s="45">
        <f t="shared" si="81"/>
        <v>33848.69</v>
      </c>
      <c r="S86" s="45"/>
      <c r="T86" s="45">
        <v>0</v>
      </c>
      <c r="U86" s="45"/>
      <c r="V86" s="45"/>
      <c r="W86" s="45"/>
      <c r="X86" s="45">
        <f t="shared" si="82"/>
        <v>33848.69</v>
      </c>
      <c r="Y86" s="45"/>
      <c r="Z86" s="45"/>
      <c r="AA86" s="45"/>
      <c r="AB86" s="45"/>
      <c r="AC86" s="45"/>
      <c r="AD86" s="45">
        <f t="shared" si="83"/>
        <v>33848.69</v>
      </c>
      <c r="AE86" s="527"/>
      <c r="AF86" s="527"/>
      <c r="AG86" s="45"/>
      <c r="AH86" s="45"/>
      <c r="AI86" s="45"/>
      <c r="AJ86" s="45">
        <f t="shared" si="84"/>
        <v>33848.69</v>
      </c>
      <c r="AK86" s="45"/>
      <c r="AL86" s="45">
        <v>0</v>
      </c>
      <c r="AM86" s="45"/>
      <c r="AN86" s="45"/>
      <c r="AO86" s="45"/>
      <c r="AP86" s="45">
        <f t="shared" si="85"/>
        <v>33848.69</v>
      </c>
      <c r="AQ86" s="45"/>
      <c r="AR86" s="45"/>
      <c r="AS86" s="45"/>
      <c r="AT86" s="45"/>
      <c r="AU86" s="45"/>
      <c r="AV86" s="45">
        <f t="shared" si="86"/>
        <v>33848.69</v>
      </c>
      <c r="AW86" s="45"/>
      <c r="AX86" s="45">
        <v>0</v>
      </c>
      <c r="AY86" s="45"/>
      <c r="AZ86" s="45"/>
      <c r="BA86" s="45"/>
      <c r="BB86" s="45">
        <f t="shared" si="87"/>
        <v>33848.69</v>
      </c>
      <c r="BC86" s="45"/>
      <c r="BD86" s="45"/>
      <c r="BE86" s="45"/>
      <c r="BF86" s="45"/>
      <c r="BG86" s="45"/>
      <c r="BH86" s="45">
        <f t="shared" si="88"/>
        <v>33848.69</v>
      </c>
      <c r="BI86" s="45"/>
      <c r="BJ86" s="45">
        <v>28798.41</v>
      </c>
      <c r="BK86" s="45"/>
      <c r="BL86" s="45"/>
      <c r="BM86" s="45"/>
      <c r="BN86" s="45">
        <f t="shared" si="89"/>
        <v>62647.100000000006</v>
      </c>
      <c r="BO86" s="45"/>
      <c r="BP86" s="45"/>
      <c r="BQ86" s="45"/>
      <c r="BR86" s="45"/>
      <c r="BS86" s="45"/>
      <c r="BT86" s="45">
        <f t="shared" si="90"/>
        <v>62647.100000000006</v>
      </c>
      <c r="BU86" s="45"/>
      <c r="BV86" s="45"/>
      <c r="BW86" s="45"/>
      <c r="BX86" s="45"/>
      <c r="BY86" s="45"/>
      <c r="BZ86" s="45">
        <f t="shared" si="91"/>
        <v>62647.100000000006</v>
      </c>
      <c r="CA86" s="45">
        <v>28798.41</v>
      </c>
      <c r="CB86" s="45"/>
      <c r="CC86" s="45"/>
      <c r="CD86" s="45">
        <f>+BZ86-CA86</f>
        <v>33848.69</v>
      </c>
    </row>
    <row r="87" spans="1:82" ht="15.75">
      <c r="A87" s="43"/>
      <c r="B87" s="44"/>
      <c r="C87" s="44" t="s">
        <v>48</v>
      </c>
      <c r="D87" s="44"/>
      <c r="E87" s="45"/>
      <c r="F87" s="45"/>
      <c r="G87" s="45"/>
      <c r="H87" s="45">
        <v>33467.26</v>
      </c>
      <c r="I87" s="45"/>
      <c r="J87" s="45"/>
      <c r="K87" s="45"/>
      <c r="L87" s="45">
        <f t="shared" si="80"/>
        <v>33467.26</v>
      </c>
      <c r="M87" s="45"/>
      <c r="N87" s="45"/>
      <c r="O87" s="45"/>
      <c r="P87" s="45"/>
      <c r="Q87" s="45"/>
      <c r="R87" s="45">
        <f t="shared" si="81"/>
        <v>33467.26</v>
      </c>
      <c r="S87" s="45"/>
      <c r="T87" s="45">
        <v>0</v>
      </c>
      <c r="U87" s="45"/>
      <c r="V87" s="45"/>
      <c r="W87" s="45"/>
      <c r="X87" s="45">
        <f t="shared" si="82"/>
        <v>33467.26</v>
      </c>
      <c r="Y87" s="45"/>
      <c r="Z87" s="45"/>
      <c r="AA87" s="45"/>
      <c r="AB87" s="45"/>
      <c r="AC87" s="45"/>
      <c r="AD87" s="45">
        <f t="shared" si="83"/>
        <v>33467.26</v>
      </c>
      <c r="AE87" s="527"/>
      <c r="AF87" s="45">
        <v>28142.85</v>
      </c>
      <c r="AG87" s="45"/>
      <c r="AH87" s="45"/>
      <c r="AI87" s="45"/>
      <c r="AJ87" s="45">
        <f t="shared" si="84"/>
        <v>61610.11</v>
      </c>
      <c r="AK87" s="45"/>
      <c r="AL87" s="45">
        <v>0</v>
      </c>
      <c r="AM87" s="45"/>
      <c r="AN87" s="45"/>
      <c r="AO87" s="45"/>
      <c r="AP87" s="45">
        <f t="shared" si="85"/>
        <v>61610.11</v>
      </c>
      <c r="AQ87" s="45"/>
      <c r="AR87" s="45"/>
      <c r="AS87" s="45"/>
      <c r="AT87" s="45"/>
      <c r="AU87" s="45"/>
      <c r="AV87" s="45">
        <f t="shared" si="86"/>
        <v>61610.11</v>
      </c>
      <c r="AW87" s="45"/>
      <c r="AX87" s="45">
        <v>32301.26</v>
      </c>
      <c r="AY87" s="45"/>
      <c r="AZ87" s="45"/>
      <c r="BA87" s="45"/>
      <c r="BB87" s="45">
        <f t="shared" si="87"/>
        <v>93911.37</v>
      </c>
      <c r="BC87" s="45"/>
      <c r="BD87" s="45">
        <v>0</v>
      </c>
      <c r="BE87" s="45"/>
      <c r="BF87" s="45"/>
      <c r="BG87" s="45"/>
      <c r="BH87" s="45">
        <f t="shared" si="88"/>
        <v>93911.37</v>
      </c>
      <c r="BI87" s="45"/>
      <c r="BJ87" s="45">
        <v>0</v>
      </c>
      <c r="BK87" s="45"/>
      <c r="BL87" s="45"/>
      <c r="BM87" s="45"/>
      <c r="BN87" s="45">
        <f t="shared" si="89"/>
        <v>93911.37</v>
      </c>
      <c r="BO87" s="45"/>
      <c r="BP87" s="45">
        <v>33895.15</v>
      </c>
      <c r="BQ87" s="45"/>
      <c r="BR87" s="45"/>
      <c r="BS87" s="45"/>
      <c r="BT87" s="45">
        <f t="shared" si="90"/>
        <v>127806.51999999999</v>
      </c>
      <c r="BU87" s="45"/>
      <c r="BV87" s="45"/>
      <c r="BW87" s="45"/>
      <c r="BX87" s="45"/>
      <c r="BY87" s="45"/>
      <c r="BZ87" s="45">
        <f t="shared" si="91"/>
        <v>127806.51999999999</v>
      </c>
      <c r="CA87" s="45">
        <v>191543.8</v>
      </c>
      <c r="CB87" s="45"/>
      <c r="CC87" s="45"/>
      <c r="CD87" s="45">
        <f>+BZ87-CA87</f>
        <v>-63737.28</v>
      </c>
    </row>
    <row r="88" spans="1:82" ht="15.75">
      <c r="A88" s="43"/>
      <c r="B88" s="44"/>
      <c r="C88" s="44" t="s">
        <v>68</v>
      </c>
      <c r="D88" s="44"/>
      <c r="E88" s="45"/>
      <c r="F88" s="45"/>
      <c r="G88" s="45"/>
      <c r="H88" s="45">
        <v>0</v>
      </c>
      <c r="I88" s="45"/>
      <c r="J88" s="45"/>
      <c r="K88" s="45"/>
      <c r="L88" s="45">
        <f t="shared" si="80"/>
        <v>0</v>
      </c>
      <c r="M88" s="45"/>
      <c r="N88" s="45"/>
      <c r="O88" s="45"/>
      <c r="P88" s="45"/>
      <c r="Q88" s="45"/>
      <c r="R88" s="45">
        <f>SUM(L88-M88+N88-O88+P88)</f>
        <v>0</v>
      </c>
      <c r="S88" s="45"/>
      <c r="T88" s="45">
        <v>0</v>
      </c>
      <c r="U88" s="45"/>
      <c r="V88" s="45"/>
      <c r="W88" s="45"/>
      <c r="X88" s="45">
        <f t="shared" si="82"/>
        <v>0</v>
      </c>
      <c r="Y88" s="45"/>
      <c r="Z88" s="45"/>
      <c r="AA88" s="45"/>
      <c r="AB88" s="45"/>
      <c r="AC88" s="45"/>
      <c r="AD88" s="45">
        <f t="shared" si="83"/>
        <v>0</v>
      </c>
      <c r="AE88" s="527"/>
      <c r="AF88" s="527"/>
      <c r="AG88" s="45"/>
      <c r="AH88" s="45"/>
      <c r="AI88" s="45"/>
      <c r="AJ88" s="45">
        <f t="shared" si="84"/>
        <v>0</v>
      </c>
      <c r="AK88" s="45"/>
      <c r="AL88" s="45">
        <v>0</v>
      </c>
      <c r="AM88" s="45"/>
      <c r="AN88" s="45"/>
      <c r="AO88" s="45"/>
      <c r="AP88" s="45">
        <f t="shared" si="85"/>
        <v>0</v>
      </c>
      <c r="AQ88" s="45"/>
      <c r="AR88" s="45"/>
      <c r="AS88" s="45"/>
      <c r="AT88" s="45"/>
      <c r="AU88" s="45"/>
      <c r="AV88" s="45">
        <f t="shared" si="86"/>
        <v>0</v>
      </c>
      <c r="AW88" s="45"/>
      <c r="AX88" s="45">
        <v>0</v>
      </c>
      <c r="AY88" s="45"/>
      <c r="AZ88" s="45"/>
      <c r="BA88" s="45"/>
      <c r="BB88" s="45">
        <f t="shared" si="87"/>
        <v>0</v>
      </c>
      <c r="BC88" s="45"/>
      <c r="BD88" s="45">
        <v>0</v>
      </c>
      <c r="BE88" s="45"/>
      <c r="BF88" s="45"/>
      <c r="BG88" s="45"/>
      <c r="BH88" s="45">
        <f t="shared" si="88"/>
        <v>0</v>
      </c>
      <c r="BI88" s="45"/>
      <c r="BJ88" s="45">
        <v>0</v>
      </c>
      <c r="BK88" s="45"/>
      <c r="BL88" s="45"/>
      <c r="BM88" s="45"/>
      <c r="BN88" s="45">
        <f t="shared" si="89"/>
        <v>0</v>
      </c>
      <c r="BO88" s="45"/>
      <c r="BP88" s="45"/>
      <c r="BQ88" s="45"/>
      <c r="BR88" s="45"/>
      <c r="BS88" s="45"/>
      <c r="BT88" s="45">
        <f t="shared" si="90"/>
        <v>0</v>
      </c>
      <c r="BU88" s="45"/>
      <c r="BV88" s="45"/>
      <c r="BW88" s="45"/>
      <c r="BX88" s="45"/>
      <c r="BY88" s="45"/>
      <c r="BZ88" s="45">
        <f t="shared" si="91"/>
        <v>0</v>
      </c>
      <c r="CA88" s="45">
        <v>0</v>
      </c>
      <c r="CB88" s="45"/>
      <c r="CC88" s="45"/>
      <c r="CD88" s="45">
        <f>+BZ88-CA88</f>
        <v>0</v>
      </c>
    </row>
    <row r="89" spans="1:82" ht="15.75">
      <c r="A89" s="46"/>
      <c r="B89" s="47"/>
      <c r="C89" s="47" t="s">
        <v>69</v>
      </c>
      <c r="D89" s="47"/>
      <c r="E89" s="48"/>
      <c r="F89" s="48"/>
      <c r="G89" s="48"/>
      <c r="H89" s="48">
        <v>19377</v>
      </c>
      <c r="I89" s="48"/>
      <c r="J89" s="48"/>
      <c r="K89" s="48"/>
      <c r="L89" s="45">
        <f t="shared" si="80"/>
        <v>19377</v>
      </c>
      <c r="M89" s="48"/>
      <c r="N89" s="48">
        <v>51279</v>
      </c>
      <c r="O89" s="48"/>
      <c r="P89" s="48"/>
      <c r="Q89" s="48"/>
      <c r="R89" s="45">
        <f t="shared" si="81"/>
        <v>70656</v>
      </c>
      <c r="S89" s="48"/>
      <c r="T89" s="48">
        <v>82876</v>
      </c>
      <c r="U89" s="48"/>
      <c r="V89" s="48"/>
      <c r="W89" s="48"/>
      <c r="X89" s="45">
        <f t="shared" si="82"/>
        <v>153532</v>
      </c>
      <c r="Y89" s="48"/>
      <c r="Z89" s="48">
        <v>43455</v>
      </c>
      <c r="AA89" s="48"/>
      <c r="AB89" s="48"/>
      <c r="AC89" s="48"/>
      <c r="AD89" s="45">
        <f t="shared" si="83"/>
        <v>196987</v>
      </c>
      <c r="AE89" s="528"/>
      <c r="AF89" s="48">
        <v>31241</v>
      </c>
      <c r="AG89" s="48"/>
      <c r="AH89" s="48"/>
      <c r="AI89" s="48"/>
      <c r="AJ89" s="45">
        <f t="shared" si="84"/>
        <v>228228</v>
      </c>
      <c r="AK89" s="48"/>
      <c r="AL89" s="48">
        <v>51026</v>
      </c>
      <c r="AM89" s="48"/>
      <c r="AN89" s="48"/>
      <c r="AO89" s="48"/>
      <c r="AP89" s="45">
        <f t="shared" si="85"/>
        <v>279254</v>
      </c>
      <c r="AQ89" s="48"/>
      <c r="AR89" s="48"/>
      <c r="AS89" s="48"/>
      <c r="AT89" s="48"/>
      <c r="AU89" s="48"/>
      <c r="AV89" s="45">
        <f t="shared" si="86"/>
        <v>279254</v>
      </c>
      <c r="AW89" s="48"/>
      <c r="AX89" s="48">
        <v>43352</v>
      </c>
      <c r="AY89" s="48"/>
      <c r="AZ89" s="48"/>
      <c r="BA89" s="48"/>
      <c r="BB89" s="45">
        <f t="shared" si="87"/>
        <v>322606</v>
      </c>
      <c r="BC89" s="48"/>
      <c r="BD89" s="48">
        <v>78661</v>
      </c>
      <c r="BE89" s="48"/>
      <c r="BF89" s="48"/>
      <c r="BG89" s="48"/>
      <c r="BH89" s="45">
        <f t="shared" si="88"/>
        <v>401267</v>
      </c>
      <c r="BI89" s="48"/>
      <c r="BJ89" s="48">
        <v>66261</v>
      </c>
      <c r="BK89" s="48"/>
      <c r="BL89" s="48"/>
      <c r="BM89" s="48"/>
      <c r="BN89" s="45">
        <f t="shared" si="89"/>
        <v>467528</v>
      </c>
      <c r="BO89" s="48"/>
      <c r="BP89" s="48">
        <v>65649</v>
      </c>
      <c r="BQ89" s="48"/>
      <c r="BR89" s="48"/>
      <c r="BS89" s="48"/>
      <c r="BT89" s="45">
        <f t="shared" si="90"/>
        <v>533177</v>
      </c>
      <c r="BU89" s="48"/>
      <c r="BV89" s="48">
        <v>16358</v>
      </c>
      <c r="BW89" s="48"/>
      <c r="BX89" s="48"/>
      <c r="BY89" s="48"/>
      <c r="BZ89" s="45">
        <f t="shared" si="91"/>
        <v>549535</v>
      </c>
      <c r="CA89" s="48">
        <v>618295</v>
      </c>
      <c r="CB89" s="48"/>
      <c r="CC89" s="48"/>
      <c r="CD89" s="45">
        <f>+BZ89-CA89</f>
        <v>-68760</v>
      </c>
    </row>
    <row r="90" spans="1:84" s="405" customFormat="1" ht="15.75">
      <c r="A90" s="390" t="s">
        <v>111</v>
      </c>
      <c r="B90" s="391"/>
      <c r="C90" s="391"/>
      <c r="D90" s="391"/>
      <c r="E90" s="392">
        <f>SUM(E91,E93,E96)</f>
        <v>0</v>
      </c>
      <c r="F90" s="392">
        <f aca="true" t="shared" si="92" ref="F90:BQ90">SUM(F91,F93,F96)</f>
        <v>0</v>
      </c>
      <c r="G90" s="392">
        <f t="shared" si="92"/>
        <v>0</v>
      </c>
      <c r="H90" s="392">
        <f t="shared" si="92"/>
        <v>0</v>
      </c>
      <c r="I90" s="392">
        <f t="shared" si="92"/>
        <v>0</v>
      </c>
      <c r="J90" s="392">
        <f t="shared" si="92"/>
        <v>0</v>
      </c>
      <c r="K90" s="392">
        <f t="shared" si="92"/>
        <v>0</v>
      </c>
      <c r="L90" s="392">
        <f t="shared" si="92"/>
        <v>0</v>
      </c>
      <c r="M90" s="392">
        <f t="shared" si="92"/>
        <v>0</v>
      </c>
      <c r="N90" s="392">
        <f t="shared" si="92"/>
        <v>4781400</v>
      </c>
      <c r="O90" s="392">
        <f t="shared" si="92"/>
        <v>0</v>
      </c>
      <c r="P90" s="392">
        <f t="shared" si="92"/>
        <v>0</v>
      </c>
      <c r="Q90" s="392">
        <f t="shared" si="92"/>
        <v>0</v>
      </c>
      <c r="R90" s="392">
        <f t="shared" si="92"/>
        <v>4781400</v>
      </c>
      <c r="S90" s="392">
        <f t="shared" si="92"/>
        <v>0</v>
      </c>
      <c r="T90" s="392">
        <f>SUM(T91,T93,T96)</f>
        <v>16910734</v>
      </c>
      <c r="U90" s="392">
        <f t="shared" si="92"/>
        <v>0</v>
      </c>
      <c r="V90" s="392">
        <f t="shared" si="92"/>
        <v>0</v>
      </c>
      <c r="W90" s="392">
        <f t="shared" si="92"/>
        <v>0</v>
      </c>
      <c r="X90" s="392">
        <f t="shared" si="92"/>
        <v>21692134</v>
      </c>
      <c r="Y90" s="392">
        <f t="shared" si="92"/>
        <v>0</v>
      </c>
      <c r="Z90" s="392">
        <f t="shared" si="92"/>
        <v>1865200</v>
      </c>
      <c r="AA90" s="392">
        <f t="shared" si="92"/>
        <v>0</v>
      </c>
      <c r="AB90" s="392">
        <f t="shared" si="92"/>
        <v>0</v>
      </c>
      <c r="AC90" s="392">
        <f t="shared" si="92"/>
        <v>0</v>
      </c>
      <c r="AD90" s="392">
        <f t="shared" si="92"/>
        <v>23557334</v>
      </c>
      <c r="AE90" s="529">
        <f t="shared" si="92"/>
        <v>0</v>
      </c>
      <c r="AF90" s="392">
        <f>SUM(AF91,AF93,AF96)</f>
        <v>5374200</v>
      </c>
      <c r="AG90" s="392">
        <f t="shared" si="92"/>
        <v>0</v>
      </c>
      <c r="AH90" s="392">
        <f t="shared" si="92"/>
        <v>0</v>
      </c>
      <c r="AI90" s="392">
        <f t="shared" si="92"/>
        <v>0</v>
      </c>
      <c r="AJ90" s="392">
        <f>SUM(AJ91,AJ93,AJ96)</f>
        <v>28931534</v>
      </c>
      <c r="AK90" s="392">
        <f t="shared" si="92"/>
        <v>101000</v>
      </c>
      <c r="AL90" s="392">
        <f>SUM(AL91,AL93,AL96)</f>
        <v>187800</v>
      </c>
      <c r="AM90" s="393">
        <f t="shared" si="92"/>
        <v>0</v>
      </c>
      <c r="AN90" s="393">
        <f t="shared" si="92"/>
        <v>0</v>
      </c>
      <c r="AO90" s="392">
        <f t="shared" si="92"/>
        <v>0</v>
      </c>
      <c r="AP90" s="392">
        <f t="shared" si="92"/>
        <v>29018334</v>
      </c>
      <c r="AQ90" s="392">
        <f t="shared" si="92"/>
        <v>0</v>
      </c>
      <c r="AR90" s="392">
        <f t="shared" si="92"/>
        <v>0</v>
      </c>
      <c r="AS90" s="392">
        <f t="shared" si="92"/>
        <v>0</v>
      </c>
      <c r="AT90" s="392">
        <f t="shared" si="92"/>
        <v>0</v>
      </c>
      <c r="AU90" s="392">
        <f t="shared" si="92"/>
        <v>0</v>
      </c>
      <c r="AV90" s="392">
        <f t="shared" si="92"/>
        <v>29018334</v>
      </c>
      <c r="AW90" s="392">
        <f t="shared" si="92"/>
        <v>0</v>
      </c>
      <c r="AX90" s="392">
        <f t="shared" si="92"/>
        <v>833534.02</v>
      </c>
      <c r="AY90" s="392">
        <f t="shared" si="92"/>
        <v>0</v>
      </c>
      <c r="AZ90" s="392">
        <f t="shared" si="92"/>
        <v>0</v>
      </c>
      <c r="BA90" s="392">
        <f t="shared" si="92"/>
        <v>0</v>
      </c>
      <c r="BB90" s="392">
        <f t="shared" si="92"/>
        <v>29851868.02</v>
      </c>
      <c r="BC90" s="392">
        <f t="shared" si="92"/>
        <v>0</v>
      </c>
      <c r="BD90" s="392">
        <f>SUM(BD91,BD93,BD96)</f>
        <v>411127</v>
      </c>
      <c r="BE90" s="392">
        <f t="shared" si="92"/>
        <v>0</v>
      </c>
      <c r="BF90" s="392">
        <f t="shared" si="92"/>
        <v>0</v>
      </c>
      <c r="BG90" s="392">
        <f>SUM(BG91,BG93,BG96)</f>
        <v>0</v>
      </c>
      <c r="BH90" s="392">
        <f>SUM(BH91,BH93,BH96)</f>
        <v>30262995.02</v>
      </c>
      <c r="BI90" s="392">
        <f t="shared" si="92"/>
        <v>0</v>
      </c>
      <c r="BJ90" s="392">
        <f t="shared" si="92"/>
        <v>97440</v>
      </c>
      <c r="BK90" s="392">
        <f t="shared" si="92"/>
        <v>0</v>
      </c>
      <c r="BL90" s="392">
        <f t="shared" si="92"/>
        <v>0</v>
      </c>
      <c r="BM90" s="392">
        <f t="shared" si="92"/>
        <v>0</v>
      </c>
      <c r="BN90" s="392">
        <f>SUM(BN91,BN93,BN96)</f>
        <v>30360435.02</v>
      </c>
      <c r="BO90" s="392">
        <f t="shared" si="92"/>
        <v>0</v>
      </c>
      <c r="BP90" s="392">
        <f t="shared" si="92"/>
        <v>150644</v>
      </c>
      <c r="BQ90" s="392">
        <f t="shared" si="92"/>
        <v>0</v>
      </c>
      <c r="BR90" s="392">
        <f aca="true" t="shared" si="93" ref="BR90:CC90">SUM(BR91,BR93,BR96)</f>
        <v>0</v>
      </c>
      <c r="BS90" s="392">
        <f t="shared" si="93"/>
        <v>0</v>
      </c>
      <c r="BT90" s="392">
        <f t="shared" si="93"/>
        <v>30511079.02</v>
      </c>
      <c r="BU90" s="392">
        <f t="shared" si="93"/>
        <v>46500</v>
      </c>
      <c r="BV90" s="392">
        <f t="shared" si="93"/>
        <v>57440</v>
      </c>
      <c r="BW90" s="392">
        <f t="shared" si="93"/>
        <v>450</v>
      </c>
      <c r="BX90" s="392">
        <f t="shared" si="93"/>
        <v>0</v>
      </c>
      <c r="BY90" s="392">
        <f t="shared" si="93"/>
        <v>0</v>
      </c>
      <c r="BZ90" s="392">
        <f>SUM(BZ91,BZ93,BZ96)</f>
        <v>30521569.02</v>
      </c>
      <c r="CA90" s="392">
        <f t="shared" si="93"/>
        <v>27299601.11</v>
      </c>
      <c r="CB90" s="392">
        <f t="shared" si="93"/>
        <v>0</v>
      </c>
      <c r="CC90" s="392">
        <f t="shared" si="93"/>
        <v>0</v>
      </c>
      <c r="CD90" s="392">
        <f>SUM(CD91,CD93,CD96)</f>
        <v>3221967.91</v>
      </c>
      <c r="CE90" s="404"/>
      <c r="CF90" s="404"/>
    </row>
    <row r="91" spans="1:84" s="405" customFormat="1" ht="15.75">
      <c r="A91" s="396"/>
      <c r="B91" s="397" t="s">
        <v>112</v>
      </c>
      <c r="C91" s="397"/>
      <c r="D91" s="397"/>
      <c r="E91" s="398">
        <f aca="true" t="shared" si="94" ref="E91:BY91">SUM(E92)</f>
        <v>0</v>
      </c>
      <c r="F91" s="398">
        <f t="shared" si="94"/>
        <v>0</v>
      </c>
      <c r="G91" s="398">
        <f t="shared" si="94"/>
        <v>0</v>
      </c>
      <c r="H91" s="398">
        <f t="shared" si="94"/>
        <v>0</v>
      </c>
      <c r="I91" s="398">
        <f t="shared" si="94"/>
        <v>0</v>
      </c>
      <c r="J91" s="398">
        <f t="shared" si="94"/>
        <v>0</v>
      </c>
      <c r="K91" s="398">
        <f t="shared" si="94"/>
        <v>0</v>
      </c>
      <c r="L91" s="399">
        <f>SUM(F91-G91+H91-I91+J91)</f>
        <v>0</v>
      </c>
      <c r="M91" s="398">
        <f t="shared" si="94"/>
        <v>0</v>
      </c>
      <c r="N91" s="398">
        <f t="shared" si="94"/>
        <v>0</v>
      </c>
      <c r="O91" s="398"/>
      <c r="P91" s="398"/>
      <c r="Q91" s="398">
        <f t="shared" si="94"/>
        <v>0</v>
      </c>
      <c r="R91" s="399">
        <f>SUM(L91-M91+N91-O91+P91)</f>
        <v>0</v>
      </c>
      <c r="S91" s="398">
        <f t="shared" si="94"/>
        <v>0</v>
      </c>
      <c r="T91" s="398">
        <f t="shared" si="94"/>
        <v>16388734</v>
      </c>
      <c r="U91" s="398"/>
      <c r="V91" s="398"/>
      <c r="W91" s="398">
        <f t="shared" si="94"/>
        <v>0</v>
      </c>
      <c r="X91" s="399">
        <f>SUM(R91-S91+T91-U91+V91)</f>
        <v>16388734</v>
      </c>
      <c r="Y91" s="398">
        <f t="shared" si="94"/>
        <v>0</v>
      </c>
      <c r="Z91" s="398">
        <f>SUM(Z92)</f>
        <v>1475080</v>
      </c>
      <c r="AA91" s="398"/>
      <c r="AB91" s="398"/>
      <c r="AC91" s="398">
        <f t="shared" si="94"/>
        <v>0</v>
      </c>
      <c r="AD91" s="399">
        <f>SUM(X91-Y91+Z91-AA91+AB91)</f>
        <v>17863814</v>
      </c>
      <c r="AE91" s="530">
        <f t="shared" si="94"/>
        <v>0</v>
      </c>
      <c r="AF91" s="398">
        <f>SUM(AF92)</f>
        <v>0</v>
      </c>
      <c r="AG91" s="398"/>
      <c r="AH91" s="398"/>
      <c r="AI91" s="398">
        <f t="shared" si="94"/>
        <v>0</v>
      </c>
      <c r="AJ91" s="399">
        <f>SUM(AD91-AE91+AF91-AG91+AH91)</f>
        <v>17863814</v>
      </c>
      <c r="AK91" s="398">
        <f t="shared" si="94"/>
        <v>0</v>
      </c>
      <c r="AL91" s="398">
        <f t="shared" si="94"/>
        <v>0</v>
      </c>
      <c r="AM91" s="399"/>
      <c r="AN91" s="399"/>
      <c r="AO91" s="398">
        <f t="shared" si="94"/>
        <v>0</v>
      </c>
      <c r="AP91" s="399">
        <f>SUM(AJ91-AK91+AL91-AM91+AN91)</f>
        <v>17863814</v>
      </c>
      <c r="AQ91" s="398">
        <f t="shared" si="94"/>
        <v>0</v>
      </c>
      <c r="AR91" s="398">
        <f t="shared" si="94"/>
        <v>0</v>
      </c>
      <c r="AS91" s="398"/>
      <c r="AT91" s="398"/>
      <c r="AU91" s="398">
        <f t="shared" si="94"/>
        <v>0</v>
      </c>
      <c r="AV91" s="399">
        <f>SUM(AP91-AQ91+AR91-AS91+AT91)</f>
        <v>17863814</v>
      </c>
      <c r="AW91" s="398">
        <f t="shared" si="94"/>
        <v>0</v>
      </c>
      <c r="AX91" s="398">
        <f t="shared" si="94"/>
        <v>0</v>
      </c>
      <c r="AY91" s="398">
        <f t="shared" si="94"/>
        <v>0</v>
      </c>
      <c r="AZ91" s="398">
        <f t="shared" si="94"/>
        <v>0</v>
      </c>
      <c r="BA91" s="398">
        <f t="shared" si="94"/>
        <v>0</v>
      </c>
      <c r="BB91" s="399">
        <f>SUM(AV91-AW91+AX91-AY91+AZ91)</f>
        <v>17863814</v>
      </c>
      <c r="BC91" s="398">
        <f t="shared" si="94"/>
        <v>0</v>
      </c>
      <c r="BD91" s="398">
        <f t="shared" si="94"/>
        <v>0</v>
      </c>
      <c r="BE91" s="398"/>
      <c r="BF91" s="398"/>
      <c r="BG91" s="398">
        <f>SUM(BG92)</f>
        <v>0</v>
      </c>
      <c r="BH91" s="399">
        <f>SUM(BB91-BC91+BD91-BE91+BF91)</f>
        <v>17863814</v>
      </c>
      <c r="BI91" s="398">
        <f t="shared" si="94"/>
        <v>0</v>
      </c>
      <c r="BJ91" s="398">
        <f t="shared" si="94"/>
        <v>0</v>
      </c>
      <c r="BK91" s="398"/>
      <c r="BL91" s="398"/>
      <c r="BM91" s="398">
        <f t="shared" si="94"/>
        <v>0</v>
      </c>
      <c r="BN91" s="399">
        <f>SUM(BH91-BI91+BJ91-BK91+BL91)</f>
        <v>17863814</v>
      </c>
      <c r="BO91" s="398">
        <f t="shared" si="94"/>
        <v>0</v>
      </c>
      <c r="BP91" s="398">
        <f t="shared" si="94"/>
        <v>0</v>
      </c>
      <c r="BQ91" s="398"/>
      <c r="BR91" s="398"/>
      <c r="BS91" s="398">
        <f t="shared" si="94"/>
        <v>0</v>
      </c>
      <c r="BT91" s="399">
        <f>SUM(BN91-BO91+BP91-BQ91+BR91)</f>
        <v>17863814</v>
      </c>
      <c r="BU91" s="398">
        <f t="shared" si="94"/>
        <v>0</v>
      </c>
      <c r="BV91" s="398">
        <f t="shared" si="94"/>
        <v>0</v>
      </c>
      <c r="BW91" s="398"/>
      <c r="BX91" s="398"/>
      <c r="BY91" s="398">
        <f t="shared" si="94"/>
        <v>0</v>
      </c>
      <c r="BZ91" s="399">
        <f>SUM(BT91-BU91+BV91-BW91+BX91)</f>
        <v>17863814</v>
      </c>
      <c r="CA91" s="399">
        <f>+CA92</f>
        <v>15565538.09</v>
      </c>
      <c r="CB91" s="399">
        <f>+CB92</f>
        <v>0</v>
      </c>
      <c r="CC91" s="398">
        <f>SUM(CC92)</f>
        <v>0</v>
      </c>
      <c r="CD91" s="399">
        <f>+BZ91+CB91+-CA91</f>
        <v>2298275.91</v>
      </c>
      <c r="CE91" s="404"/>
      <c r="CF91" s="404"/>
    </row>
    <row r="92" spans="1:82" ht="15.75">
      <c r="A92" s="14"/>
      <c r="B92" s="32"/>
      <c r="C92" s="32" t="s">
        <v>113</v>
      </c>
      <c r="D92" s="32"/>
      <c r="E92" s="13"/>
      <c r="F92" s="13"/>
      <c r="G92" s="13"/>
      <c r="H92" s="13"/>
      <c r="I92" s="13"/>
      <c r="J92" s="13"/>
      <c r="K92" s="13"/>
      <c r="L92" s="13">
        <f>SUM(F92-G92+H92-I92+J92)</f>
        <v>0</v>
      </c>
      <c r="M92" s="13"/>
      <c r="N92" s="13"/>
      <c r="O92" s="13"/>
      <c r="P92" s="13"/>
      <c r="Q92" s="13"/>
      <c r="R92" s="13">
        <f>SUM(L92-M92+N92-O92+P92)</f>
        <v>0</v>
      </c>
      <c r="S92" s="13"/>
      <c r="T92" s="13">
        <v>16388734</v>
      </c>
      <c r="U92" s="13"/>
      <c r="V92" s="13"/>
      <c r="W92" s="13"/>
      <c r="X92" s="13">
        <f>SUM(R92-S92+T92-U92+V92)</f>
        <v>16388734</v>
      </c>
      <c r="Y92" s="13"/>
      <c r="Z92" s="13">
        <v>1475080</v>
      </c>
      <c r="AA92" s="13"/>
      <c r="AB92" s="13"/>
      <c r="AC92" s="13"/>
      <c r="AD92" s="13">
        <f>SUM(X92-Y92+Z92-AA92+AB92)</f>
        <v>17863814</v>
      </c>
      <c r="AE92" s="524"/>
      <c r="AF92" s="13"/>
      <c r="AG92" s="13"/>
      <c r="AH92" s="13"/>
      <c r="AI92" s="13"/>
      <c r="AJ92" s="13">
        <f>SUM(AD92-AE92+AF92-AG92+AH92)</f>
        <v>17863814</v>
      </c>
      <c r="AK92" s="13"/>
      <c r="AL92" s="13"/>
      <c r="AM92" s="13"/>
      <c r="AN92" s="13"/>
      <c r="AO92" s="13"/>
      <c r="AP92" s="13">
        <f>SUM(AJ92-AK92+AL92-AM92+AN92)</f>
        <v>17863814</v>
      </c>
      <c r="AQ92" s="13"/>
      <c r="AR92" s="13">
        <v>0</v>
      </c>
      <c r="AS92" s="13"/>
      <c r="AT92" s="13"/>
      <c r="AU92" s="13"/>
      <c r="AV92" s="13">
        <f>SUM(AP92-AQ92+AR92-AS92+AT92)</f>
        <v>17863814</v>
      </c>
      <c r="AW92" s="13"/>
      <c r="AX92" s="13"/>
      <c r="AY92" s="13"/>
      <c r="AZ92" s="13"/>
      <c r="BA92" s="13"/>
      <c r="BB92" s="13">
        <f>SUM(AV92-AW92+AX92-AY92+AZ92)</f>
        <v>17863814</v>
      </c>
      <c r="BC92" s="13"/>
      <c r="BD92" s="13"/>
      <c r="BE92" s="13"/>
      <c r="BF92" s="13"/>
      <c r="BG92" s="13"/>
      <c r="BH92" s="13">
        <f>SUM(BB92-BC92+BD92-BE92+BF92)</f>
        <v>17863814</v>
      </c>
      <c r="BI92" s="13"/>
      <c r="BJ92" s="13">
        <v>0</v>
      </c>
      <c r="BK92" s="13"/>
      <c r="BL92" s="13"/>
      <c r="BM92" s="13"/>
      <c r="BN92" s="13">
        <f>SUM(BH92-BI92+BJ92-BK92+BL92)</f>
        <v>17863814</v>
      </c>
      <c r="BO92" s="13"/>
      <c r="BP92" s="13"/>
      <c r="BQ92" s="13"/>
      <c r="BR92" s="13"/>
      <c r="BS92" s="13"/>
      <c r="BT92" s="13">
        <f>SUM(BN92-BO92+BP92-BQ92+BR92)</f>
        <v>17863814</v>
      </c>
      <c r="BU92" s="13"/>
      <c r="BV92" s="13"/>
      <c r="BW92" s="13"/>
      <c r="BX92" s="13"/>
      <c r="BY92" s="13"/>
      <c r="BZ92" s="13">
        <f>SUM(BT92-BU92+BV92-BW92+BX92)</f>
        <v>17863814</v>
      </c>
      <c r="CA92" s="13">
        <v>15565538.09</v>
      </c>
      <c r="CB92" s="13"/>
      <c r="CC92" s="13"/>
      <c r="CD92" s="13">
        <f>+BZ92+CB92-CA92</f>
        <v>2298275.91</v>
      </c>
    </row>
    <row r="93" spans="1:84" s="405" customFormat="1" ht="15.75">
      <c r="A93" s="400"/>
      <c r="B93" s="401" t="s">
        <v>114</v>
      </c>
      <c r="C93" s="401"/>
      <c r="D93" s="401"/>
      <c r="E93" s="402">
        <f aca="true" t="shared" si="95" ref="E93:AL93">SUM(E94:E95)</f>
        <v>0</v>
      </c>
      <c r="F93" s="402">
        <f t="shared" si="95"/>
        <v>0</v>
      </c>
      <c r="G93" s="402">
        <f t="shared" si="95"/>
        <v>0</v>
      </c>
      <c r="H93" s="402">
        <f t="shared" si="95"/>
        <v>0</v>
      </c>
      <c r="I93" s="402">
        <f t="shared" si="95"/>
        <v>0</v>
      </c>
      <c r="J93" s="402">
        <f t="shared" si="95"/>
        <v>0</v>
      </c>
      <c r="K93" s="402">
        <f t="shared" si="95"/>
        <v>0</v>
      </c>
      <c r="L93" s="402">
        <f>SUM(L94:L95)</f>
        <v>0</v>
      </c>
      <c r="M93" s="402">
        <f t="shared" si="95"/>
        <v>0</v>
      </c>
      <c r="N93" s="402">
        <f t="shared" si="95"/>
        <v>0</v>
      </c>
      <c r="O93" s="402">
        <f t="shared" si="95"/>
        <v>0</v>
      </c>
      <c r="P93" s="402">
        <f t="shared" si="95"/>
        <v>0</v>
      </c>
      <c r="Q93" s="402">
        <f t="shared" si="95"/>
        <v>0</v>
      </c>
      <c r="R93" s="402">
        <f>SUM(R94:R95)</f>
        <v>0</v>
      </c>
      <c r="S93" s="402">
        <f aca="true" t="shared" si="96" ref="S93:X93">SUM(S94:S95)</f>
        <v>0</v>
      </c>
      <c r="T93" s="402">
        <f>SUM(T94:T95)</f>
        <v>0</v>
      </c>
      <c r="U93" s="402">
        <f t="shared" si="96"/>
        <v>0</v>
      </c>
      <c r="V93" s="402">
        <f t="shared" si="96"/>
        <v>0</v>
      </c>
      <c r="W93" s="402">
        <f t="shared" si="96"/>
        <v>0</v>
      </c>
      <c r="X93" s="402">
        <f t="shared" si="96"/>
        <v>0</v>
      </c>
      <c r="Y93" s="402">
        <f t="shared" si="95"/>
        <v>0</v>
      </c>
      <c r="Z93" s="402">
        <f>SUM(Z94:Z95)</f>
        <v>0</v>
      </c>
      <c r="AA93" s="402">
        <f t="shared" si="95"/>
        <v>0</v>
      </c>
      <c r="AB93" s="402">
        <f t="shared" si="95"/>
        <v>0</v>
      </c>
      <c r="AC93" s="402">
        <f t="shared" si="95"/>
        <v>0</v>
      </c>
      <c r="AD93" s="402">
        <f t="shared" si="95"/>
        <v>0</v>
      </c>
      <c r="AE93" s="531">
        <f t="shared" si="95"/>
        <v>0</v>
      </c>
      <c r="AF93" s="402">
        <f>SUM(AF94:AF95)</f>
        <v>0</v>
      </c>
      <c r="AG93" s="402">
        <f t="shared" si="95"/>
        <v>0</v>
      </c>
      <c r="AH93" s="402">
        <f t="shared" si="95"/>
        <v>0</v>
      </c>
      <c r="AI93" s="402">
        <f t="shared" si="95"/>
        <v>0</v>
      </c>
      <c r="AJ93" s="402">
        <f>SUM(AJ94:AJ95)</f>
        <v>0</v>
      </c>
      <c r="AK93" s="402">
        <f t="shared" si="95"/>
        <v>0</v>
      </c>
      <c r="AL93" s="402">
        <f t="shared" si="95"/>
        <v>0</v>
      </c>
      <c r="AM93" s="403">
        <f>SUM(AM94:AM95)</f>
        <v>0</v>
      </c>
      <c r="AN93" s="403">
        <f aca="true" t="shared" si="97" ref="AN93:BR93">SUM(AN94:AN95)</f>
        <v>0</v>
      </c>
      <c r="AO93" s="402">
        <f t="shared" si="97"/>
        <v>0</v>
      </c>
      <c r="AP93" s="402">
        <f t="shared" si="97"/>
        <v>0</v>
      </c>
      <c r="AQ93" s="402">
        <f t="shared" si="97"/>
        <v>0</v>
      </c>
      <c r="AR93" s="402">
        <f t="shared" si="97"/>
        <v>0</v>
      </c>
      <c r="AS93" s="402">
        <f t="shared" si="97"/>
        <v>0</v>
      </c>
      <c r="AT93" s="402">
        <f t="shared" si="97"/>
        <v>0</v>
      </c>
      <c r="AU93" s="402">
        <f t="shared" si="97"/>
        <v>0</v>
      </c>
      <c r="AV93" s="402">
        <f>SUM(AV94:AV95)</f>
        <v>0</v>
      </c>
      <c r="AW93" s="402">
        <f t="shared" si="97"/>
        <v>0</v>
      </c>
      <c r="AX93" s="402">
        <f t="shared" si="97"/>
        <v>0</v>
      </c>
      <c r="AY93" s="402">
        <f t="shared" si="97"/>
        <v>0</v>
      </c>
      <c r="AZ93" s="402">
        <f>SUM(AZ94:AZ95)</f>
        <v>0</v>
      </c>
      <c r="BA93" s="402">
        <f>SUM(BA94:BA95)</f>
        <v>0</v>
      </c>
      <c r="BB93" s="402">
        <f>SUM(BB94:BB95)</f>
        <v>0</v>
      </c>
      <c r="BC93" s="402">
        <f t="shared" si="97"/>
        <v>0</v>
      </c>
      <c r="BD93" s="402">
        <f t="shared" si="97"/>
        <v>0</v>
      </c>
      <c r="BE93" s="402">
        <f t="shared" si="97"/>
        <v>0</v>
      </c>
      <c r="BF93" s="402">
        <f t="shared" si="97"/>
        <v>0</v>
      </c>
      <c r="BG93" s="402">
        <f>SUM(BG94:BG95)</f>
        <v>0</v>
      </c>
      <c r="BH93" s="402">
        <f>SUM(BH94:BH95)</f>
        <v>0</v>
      </c>
      <c r="BI93" s="402">
        <f t="shared" si="97"/>
        <v>0</v>
      </c>
      <c r="BJ93" s="402">
        <f t="shared" si="97"/>
        <v>0</v>
      </c>
      <c r="BK93" s="402">
        <f t="shared" si="97"/>
        <v>0</v>
      </c>
      <c r="BL93" s="402">
        <f t="shared" si="97"/>
        <v>0</v>
      </c>
      <c r="BM93" s="402">
        <f t="shared" si="97"/>
        <v>0</v>
      </c>
      <c r="BN93" s="402">
        <f>SUM(BN94:BN95)</f>
        <v>0</v>
      </c>
      <c r="BO93" s="402">
        <f t="shared" si="97"/>
        <v>0</v>
      </c>
      <c r="BP93" s="402">
        <f t="shared" si="97"/>
        <v>0</v>
      </c>
      <c r="BQ93" s="402">
        <f t="shared" si="97"/>
        <v>0</v>
      </c>
      <c r="BR93" s="402">
        <f t="shared" si="97"/>
        <v>0</v>
      </c>
      <c r="BS93" s="402">
        <f aca="true" t="shared" si="98" ref="BS93:CC93">SUM(BS94:BS95)</f>
        <v>0</v>
      </c>
      <c r="BT93" s="402">
        <f>SUM(BT94:BT95)</f>
        <v>0</v>
      </c>
      <c r="BU93" s="402">
        <f t="shared" si="98"/>
        <v>0</v>
      </c>
      <c r="BV93" s="402">
        <f t="shared" si="98"/>
        <v>0</v>
      </c>
      <c r="BW93" s="402">
        <f t="shared" si="98"/>
        <v>0</v>
      </c>
      <c r="BX93" s="402">
        <f t="shared" si="98"/>
        <v>0</v>
      </c>
      <c r="BY93" s="402">
        <f t="shared" si="98"/>
        <v>0</v>
      </c>
      <c r="BZ93" s="402">
        <f>SUM(BZ94:BZ95)</f>
        <v>0</v>
      </c>
      <c r="CA93" s="402">
        <f>SUM(CA94:CA95)</f>
        <v>21800</v>
      </c>
      <c r="CB93" s="402">
        <f>SUM(CB94:CB95)</f>
        <v>0</v>
      </c>
      <c r="CC93" s="402">
        <f t="shared" si="98"/>
        <v>0</v>
      </c>
      <c r="CD93" s="402">
        <f>SUM(CD94:CD95)</f>
        <v>-21800</v>
      </c>
      <c r="CE93" s="404"/>
      <c r="CF93" s="404"/>
    </row>
    <row r="94" spans="1:82" ht="15.75">
      <c r="A94" s="40"/>
      <c r="B94" s="41"/>
      <c r="C94" s="41" t="s">
        <v>126</v>
      </c>
      <c r="D94" s="41"/>
      <c r="E94" s="42"/>
      <c r="F94" s="42"/>
      <c r="G94" s="42"/>
      <c r="H94" s="42"/>
      <c r="I94" s="42"/>
      <c r="J94" s="42"/>
      <c r="K94" s="42"/>
      <c r="L94" s="42">
        <f>SUM(F94-G94+H94)</f>
        <v>0</v>
      </c>
      <c r="M94" s="42"/>
      <c r="N94" s="42"/>
      <c r="O94" s="42"/>
      <c r="P94" s="42"/>
      <c r="Q94" s="42"/>
      <c r="R94" s="42">
        <f>SUM(L94-M94+N94)</f>
        <v>0</v>
      </c>
      <c r="S94" s="42"/>
      <c r="T94" s="42">
        <v>0</v>
      </c>
      <c r="U94" s="42"/>
      <c r="V94" s="42"/>
      <c r="W94" s="42"/>
      <c r="X94" s="42">
        <f>SUM(R94-S94+T94)</f>
        <v>0</v>
      </c>
      <c r="Y94" s="42"/>
      <c r="Z94" s="42"/>
      <c r="AA94" s="42"/>
      <c r="AB94" s="42"/>
      <c r="AC94" s="42"/>
      <c r="AD94" s="42">
        <f>SUM(X94-Y94+Z94)</f>
        <v>0</v>
      </c>
      <c r="AE94" s="526"/>
      <c r="AF94" s="42"/>
      <c r="AG94" s="42"/>
      <c r="AH94" s="42"/>
      <c r="AI94" s="42"/>
      <c r="AJ94" s="42">
        <f>SUM(AD94-AE94+AF94)</f>
        <v>0</v>
      </c>
      <c r="AK94" s="42"/>
      <c r="AL94" s="42"/>
      <c r="AM94" s="42"/>
      <c r="AN94" s="42"/>
      <c r="AO94" s="42"/>
      <c r="AP94" s="42">
        <f>SUM(AJ94-AK94+AL94)</f>
        <v>0</v>
      </c>
      <c r="AQ94" s="42"/>
      <c r="AR94" s="42"/>
      <c r="AS94" s="42"/>
      <c r="AT94" s="42"/>
      <c r="AU94" s="42"/>
      <c r="AV94" s="42">
        <f>SUM(AP94-AQ94+AR94)</f>
        <v>0</v>
      </c>
      <c r="AW94" s="42"/>
      <c r="AX94" s="42"/>
      <c r="AY94" s="42"/>
      <c r="AZ94" s="42"/>
      <c r="BA94" s="42"/>
      <c r="BB94" s="42">
        <f>SUM(AV94-AW94+AX94)</f>
        <v>0</v>
      </c>
      <c r="BC94" s="42"/>
      <c r="BD94" s="42"/>
      <c r="BE94" s="42"/>
      <c r="BF94" s="42"/>
      <c r="BG94" s="42"/>
      <c r="BH94" s="42">
        <f>SUM(BB94-BC94+BD94)</f>
        <v>0</v>
      </c>
      <c r="BI94" s="42"/>
      <c r="BJ94" s="42">
        <v>0</v>
      </c>
      <c r="BK94" s="42"/>
      <c r="BL94" s="42"/>
      <c r="BM94" s="42"/>
      <c r="BN94" s="42">
        <f>SUM(BH94-BI94+BJ94)</f>
        <v>0</v>
      </c>
      <c r="BO94" s="42"/>
      <c r="BP94" s="42"/>
      <c r="BQ94" s="42"/>
      <c r="BR94" s="42"/>
      <c r="BS94" s="42"/>
      <c r="BT94" s="42">
        <f>SUM(BN94-BO94+BP94)</f>
        <v>0</v>
      </c>
      <c r="BU94" s="42"/>
      <c r="BV94" s="42"/>
      <c r="BW94" s="42"/>
      <c r="BX94" s="42"/>
      <c r="BY94" s="42"/>
      <c r="BZ94" s="42">
        <f>SUM(BT94-BU94+BV94)</f>
        <v>0</v>
      </c>
      <c r="CA94" s="42">
        <v>21800</v>
      </c>
      <c r="CB94" s="42"/>
      <c r="CC94" s="42"/>
      <c r="CD94" s="15">
        <f>SUM(BX94-BY94+BZ94-CA94+CB94)</f>
        <v>-21800</v>
      </c>
    </row>
    <row r="95" spans="1:82" ht="15.75">
      <c r="A95" s="46"/>
      <c r="B95" s="47"/>
      <c r="C95" s="47" t="s">
        <v>330</v>
      </c>
      <c r="D95" s="47"/>
      <c r="E95" s="48"/>
      <c r="F95" s="48"/>
      <c r="G95" s="48"/>
      <c r="H95" s="48"/>
      <c r="I95" s="48"/>
      <c r="J95" s="48"/>
      <c r="K95" s="48"/>
      <c r="L95" s="48">
        <f>SUM(F95-G95+H95)</f>
        <v>0</v>
      </c>
      <c r="M95" s="48"/>
      <c r="N95" s="48"/>
      <c r="O95" s="48"/>
      <c r="P95" s="48"/>
      <c r="Q95" s="48"/>
      <c r="R95" s="48">
        <f>SUM(L95-M95+N95)</f>
        <v>0</v>
      </c>
      <c r="S95" s="48"/>
      <c r="T95" s="48">
        <v>0</v>
      </c>
      <c r="U95" s="48"/>
      <c r="V95" s="48"/>
      <c r="W95" s="48"/>
      <c r="X95" s="48">
        <f>SUM(R95-S95+T95)</f>
        <v>0</v>
      </c>
      <c r="Y95" s="48"/>
      <c r="Z95" s="48"/>
      <c r="AA95" s="48"/>
      <c r="AB95" s="48"/>
      <c r="AC95" s="48"/>
      <c r="AD95" s="48">
        <f>SUM(X95-Y95+Z95)</f>
        <v>0</v>
      </c>
      <c r="AE95" s="528"/>
      <c r="AF95" s="48"/>
      <c r="AG95" s="48"/>
      <c r="AH95" s="48"/>
      <c r="AI95" s="48"/>
      <c r="AJ95" s="48">
        <f>SUM(AD95-AE95+AF95)</f>
        <v>0</v>
      </c>
      <c r="AK95" s="48"/>
      <c r="AL95" s="48"/>
      <c r="AM95" s="48"/>
      <c r="AN95" s="48"/>
      <c r="AO95" s="48"/>
      <c r="AP95" s="48">
        <f>SUM(AJ95-AK95+AL95)</f>
        <v>0</v>
      </c>
      <c r="AQ95" s="48"/>
      <c r="AR95" s="48">
        <v>0</v>
      </c>
      <c r="AS95" s="48"/>
      <c r="AT95" s="48"/>
      <c r="AU95" s="48"/>
      <c r="AV95" s="48">
        <f>SUM(AP95-AQ95+AR95)</f>
        <v>0</v>
      </c>
      <c r="AW95" s="48"/>
      <c r="AX95" s="48"/>
      <c r="AY95" s="48"/>
      <c r="AZ95" s="48"/>
      <c r="BA95" s="48"/>
      <c r="BB95" s="48">
        <f>SUM(AV95-AW95+AX95)</f>
        <v>0</v>
      </c>
      <c r="BC95" s="48"/>
      <c r="BD95" s="48"/>
      <c r="BE95" s="48"/>
      <c r="BF95" s="48"/>
      <c r="BG95" s="48"/>
      <c r="BH95" s="48">
        <f>SUM(BB95-BC95+BD95)</f>
        <v>0</v>
      </c>
      <c r="BI95" s="48"/>
      <c r="BJ95" s="48">
        <v>0</v>
      </c>
      <c r="BK95" s="48"/>
      <c r="BL95" s="48"/>
      <c r="BM95" s="48"/>
      <c r="BN95" s="48">
        <f>SUM(BH95-BI95+BJ95)</f>
        <v>0</v>
      </c>
      <c r="BO95" s="48"/>
      <c r="BP95" s="48"/>
      <c r="BQ95" s="48"/>
      <c r="BR95" s="48"/>
      <c r="BS95" s="48"/>
      <c r="BT95" s="48">
        <f>SUM(BN95-BO95+BP95)</f>
        <v>0</v>
      </c>
      <c r="BU95" s="48"/>
      <c r="BV95" s="48"/>
      <c r="BW95" s="48"/>
      <c r="BX95" s="48"/>
      <c r="BY95" s="48"/>
      <c r="BZ95" s="48">
        <f>SUM(BT95-BU95+BV95)</f>
        <v>0</v>
      </c>
      <c r="CA95" s="48">
        <v>0</v>
      </c>
      <c r="CB95" s="48"/>
      <c r="CC95" s="48"/>
      <c r="CD95" s="48">
        <f>SUM(BX95-BY95+BZ95-CA95+CB95)</f>
        <v>0</v>
      </c>
    </row>
    <row r="96" spans="1:84" s="405" customFormat="1" ht="15.75">
      <c r="A96" s="400"/>
      <c r="B96" s="401" t="s">
        <v>115</v>
      </c>
      <c r="C96" s="401"/>
      <c r="D96" s="401"/>
      <c r="E96" s="402">
        <f>SUM(E97:E102)</f>
        <v>0</v>
      </c>
      <c r="F96" s="402">
        <f>SUM(F97:F102)</f>
        <v>0</v>
      </c>
      <c r="G96" s="402">
        <f>SUM(G97:G106)</f>
        <v>0</v>
      </c>
      <c r="H96" s="402">
        <f>SUM(H97:H106)</f>
        <v>0</v>
      </c>
      <c r="I96" s="402">
        <f>SUM(I97:I106)</f>
        <v>0</v>
      </c>
      <c r="J96" s="402">
        <f>SUM(J97:J106)</f>
        <v>0</v>
      </c>
      <c r="K96" s="402">
        <f>SUM(K97:K106)</f>
        <v>0</v>
      </c>
      <c r="L96" s="402">
        <f>SUM(L97:L106)</f>
        <v>0</v>
      </c>
      <c r="M96" s="402">
        <f>SUM(M97:M102)</f>
        <v>0</v>
      </c>
      <c r="N96" s="402">
        <f>SUM(N97:N106)</f>
        <v>4781400</v>
      </c>
      <c r="O96" s="402">
        <f>SUM(O97:O106)</f>
        <v>0</v>
      </c>
      <c r="P96" s="402">
        <f>SUM(P97:P106)</f>
        <v>0</v>
      </c>
      <c r="Q96" s="402">
        <f>SUM(Q97:Q102)</f>
        <v>0</v>
      </c>
      <c r="R96" s="402">
        <f>SUM(R97:R106)</f>
        <v>4781400</v>
      </c>
      <c r="S96" s="402">
        <f aca="true" t="shared" si="99" ref="S96:CD96">SUM(S97:S106)</f>
        <v>0</v>
      </c>
      <c r="T96" s="402">
        <f>SUM(T97:T106)</f>
        <v>522000</v>
      </c>
      <c r="U96" s="402">
        <f t="shared" si="99"/>
        <v>0</v>
      </c>
      <c r="V96" s="402">
        <f t="shared" si="99"/>
        <v>0</v>
      </c>
      <c r="W96" s="402">
        <f t="shared" si="99"/>
        <v>0</v>
      </c>
      <c r="X96" s="402">
        <f>SUM(X97:X106)</f>
        <v>5303400</v>
      </c>
      <c r="Y96" s="402">
        <f t="shared" si="99"/>
        <v>0</v>
      </c>
      <c r="Z96" s="402">
        <f>SUM(Z97:Z106)</f>
        <v>390120</v>
      </c>
      <c r="AA96" s="402">
        <f t="shared" si="99"/>
        <v>0</v>
      </c>
      <c r="AB96" s="402">
        <f t="shared" si="99"/>
        <v>0</v>
      </c>
      <c r="AC96" s="402">
        <f t="shared" si="99"/>
        <v>0</v>
      </c>
      <c r="AD96" s="402">
        <f t="shared" si="99"/>
        <v>5693520</v>
      </c>
      <c r="AE96" s="531">
        <f t="shared" si="99"/>
        <v>0</v>
      </c>
      <c r="AF96" s="402">
        <f>SUM(AF97:AF106)</f>
        <v>5374200</v>
      </c>
      <c r="AG96" s="402">
        <f t="shared" si="99"/>
        <v>0</v>
      </c>
      <c r="AH96" s="402">
        <f t="shared" si="99"/>
        <v>0</v>
      </c>
      <c r="AI96" s="402">
        <f t="shared" si="99"/>
        <v>0</v>
      </c>
      <c r="AJ96" s="402">
        <f t="shared" si="99"/>
        <v>11067720</v>
      </c>
      <c r="AK96" s="402">
        <f t="shared" si="99"/>
        <v>101000</v>
      </c>
      <c r="AL96" s="402">
        <f>SUM(AL97:AL106)</f>
        <v>187800</v>
      </c>
      <c r="AM96" s="402">
        <f t="shared" si="99"/>
        <v>0</v>
      </c>
      <c r="AN96" s="402">
        <f t="shared" si="99"/>
        <v>0</v>
      </c>
      <c r="AO96" s="402">
        <f t="shared" si="99"/>
        <v>0</v>
      </c>
      <c r="AP96" s="402">
        <f t="shared" si="99"/>
        <v>11154520</v>
      </c>
      <c r="AQ96" s="402">
        <f t="shared" si="99"/>
        <v>0</v>
      </c>
      <c r="AR96" s="402">
        <f t="shared" si="99"/>
        <v>0</v>
      </c>
      <c r="AS96" s="402">
        <f t="shared" si="99"/>
        <v>0</v>
      </c>
      <c r="AT96" s="402">
        <f t="shared" si="99"/>
        <v>0</v>
      </c>
      <c r="AU96" s="402">
        <f t="shared" si="99"/>
        <v>0</v>
      </c>
      <c r="AV96" s="402">
        <f t="shared" si="99"/>
        <v>11154520</v>
      </c>
      <c r="AW96" s="402">
        <f t="shared" si="99"/>
        <v>0</v>
      </c>
      <c r="AX96" s="402">
        <f t="shared" si="99"/>
        <v>833534.02</v>
      </c>
      <c r="AY96" s="402">
        <f t="shared" si="99"/>
        <v>0</v>
      </c>
      <c r="AZ96" s="402">
        <f t="shared" si="99"/>
        <v>0</v>
      </c>
      <c r="BA96" s="402">
        <f t="shared" si="99"/>
        <v>0</v>
      </c>
      <c r="BB96" s="402">
        <f t="shared" si="99"/>
        <v>11988054.02</v>
      </c>
      <c r="BC96" s="402">
        <f t="shared" si="99"/>
        <v>0</v>
      </c>
      <c r="BD96" s="402">
        <f t="shared" si="99"/>
        <v>411127</v>
      </c>
      <c r="BE96" s="402">
        <f t="shared" si="99"/>
        <v>0</v>
      </c>
      <c r="BF96" s="402">
        <f t="shared" si="99"/>
        <v>0</v>
      </c>
      <c r="BG96" s="402">
        <f t="shared" si="99"/>
        <v>0</v>
      </c>
      <c r="BH96" s="402">
        <f t="shared" si="99"/>
        <v>12399181.02</v>
      </c>
      <c r="BI96" s="402">
        <f t="shared" si="99"/>
        <v>0</v>
      </c>
      <c r="BJ96" s="402">
        <f t="shared" si="99"/>
        <v>97440</v>
      </c>
      <c r="BK96" s="402">
        <f t="shared" si="99"/>
        <v>0</v>
      </c>
      <c r="BL96" s="402">
        <f t="shared" si="99"/>
        <v>0</v>
      </c>
      <c r="BM96" s="402">
        <f t="shared" si="99"/>
        <v>0</v>
      </c>
      <c r="BN96" s="402">
        <f t="shared" si="99"/>
        <v>12496621.02</v>
      </c>
      <c r="BO96" s="402">
        <f t="shared" si="99"/>
        <v>0</v>
      </c>
      <c r="BP96" s="402">
        <f t="shared" si="99"/>
        <v>150644</v>
      </c>
      <c r="BQ96" s="402">
        <f t="shared" si="99"/>
        <v>0</v>
      </c>
      <c r="BR96" s="402">
        <f t="shared" si="99"/>
        <v>0</v>
      </c>
      <c r="BS96" s="402">
        <f t="shared" si="99"/>
        <v>0</v>
      </c>
      <c r="BT96" s="402">
        <f t="shared" si="99"/>
        <v>12647265.02</v>
      </c>
      <c r="BU96" s="402">
        <f t="shared" si="99"/>
        <v>46500</v>
      </c>
      <c r="BV96" s="402">
        <f t="shared" si="99"/>
        <v>57440</v>
      </c>
      <c r="BW96" s="402">
        <f t="shared" si="99"/>
        <v>450</v>
      </c>
      <c r="BX96" s="402">
        <f t="shared" si="99"/>
        <v>0</v>
      </c>
      <c r="BY96" s="402">
        <f t="shared" si="99"/>
        <v>0</v>
      </c>
      <c r="BZ96" s="402">
        <f t="shared" si="99"/>
        <v>12657755.02</v>
      </c>
      <c r="CA96" s="402">
        <f t="shared" si="99"/>
        <v>11712263.02</v>
      </c>
      <c r="CB96" s="402">
        <f t="shared" si="99"/>
        <v>0</v>
      </c>
      <c r="CC96" s="402">
        <f t="shared" si="99"/>
        <v>0</v>
      </c>
      <c r="CD96" s="402">
        <f t="shared" si="99"/>
        <v>945492</v>
      </c>
      <c r="CE96" s="404"/>
      <c r="CF96" s="404"/>
    </row>
    <row r="97" spans="1:82" ht="15.75">
      <c r="A97" s="40"/>
      <c r="B97" s="41"/>
      <c r="C97" s="41" t="s">
        <v>356</v>
      </c>
      <c r="D97" s="41"/>
      <c r="E97" s="42"/>
      <c r="F97" s="42"/>
      <c r="G97" s="42"/>
      <c r="H97" s="42"/>
      <c r="I97" s="42"/>
      <c r="J97" s="42"/>
      <c r="K97" s="42"/>
      <c r="L97" s="42">
        <f>SUM(F97-G97+H97-I97+J97)</f>
        <v>0</v>
      </c>
      <c r="M97" s="42"/>
      <c r="N97" s="42">
        <v>4781400</v>
      </c>
      <c r="O97" s="42"/>
      <c r="P97" s="42"/>
      <c r="Q97" s="42"/>
      <c r="R97" s="42">
        <f aca="true" t="shared" si="100" ref="R97:R106">SUM(L97-M97+N97-O97+P97)</f>
        <v>4781400</v>
      </c>
      <c r="S97" s="42"/>
      <c r="T97" s="42">
        <v>0</v>
      </c>
      <c r="U97" s="42"/>
      <c r="V97" s="42"/>
      <c r="W97" s="42"/>
      <c r="X97" s="42">
        <f aca="true" t="shared" si="101" ref="X97:X106">SUM(R97-S97+T97-U97+V97)</f>
        <v>4781400</v>
      </c>
      <c r="Y97" s="42"/>
      <c r="Z97" s="42"/>
      <c r="AA97" s="42"/>
      <c r="AB97" s="42"/>
      <c r="AC97" s="42"/>
      <c r="AD97" s="42">
        <f aca="true" t="shared" si="102" ref="AD97:AD105">SUM(X97-Y97+Z97-AA97+AB97)</f>
        <v>4781400</v>
      </c>
      <c r="AE97" s="526"/>
      <c r="AF97" s="42">
        <v>4754400</v>
      </c>
      <c r="AG97" s="42"/>
      <c r="AH97" s="42"/>
      <c r="AI97" s="42"/>
      <c r="AJ97" s="42">
        <f aca="true" t="shared" si="103" ref="AJ97:AJ105">SUM(AD97-AE97+AF97-AG97+AH97)</f>
        <v>9535800</v>
      </c>
      <c r="AK97" s="42">
        <v>93000</v>
      </c>
      <c r="AL97" s="42"/>
      <c r="AM97" s="42"/>
      <c r="AN97" s="42"/>
      <c r="AO97" s="42"/>
      <c r="AP97" s="42">
        <f aca="true" t="shared" si="104" ref="AP97:AP105">SUM(AJ97-AK97+AL97-AM97+AN97)</f>
        <v>9442800</v>
      </c>
      <c r="AQ97" s="42"/>
      <c r="AR97" s="42"/>
      <c r="AS97" s="42"/>
      <c r="AT97" s="42"/>
      <c r="AU97" s="42"/>
      <c r="AV97" s="42">
        <f aca="true" t="shared" si="105" ref="AV97:AV105">SUM(AP97-AQ97+AR97-AS97+AT97)</f>
        <v>9442800</v>
      </c>
      <c r="AW97" s="42"/>
      <c r="AX97" s="42"/>
      <c r="AY97" s="42"/>
      <c r="AZ97" s="42"/>
      <c r="BA97" s="42"/>
      <c r="BB97" s="42">
        <f aca="true" t="shared" si="106" ref="BB97:BB105">SUM(AV97-AW97+AX97-AY97+AZ97)</f>
        <v>9442800</v>
      </c>
      <c r="BC97" s="42"/>
      <c r="BD97" s="42"/>
      <c r="BE97" s="42"/>
      <c r="BF97" s="42"/>
      <c r="BG97" s="42"/>
      <c r="BH97" s="42">
        <f aca="true" t="shared" si="107" ref="BH97:BH105">SUM(BB97-BC97+BD97-BE97+BF97)</f>
        <v>9442800</v>
      </c>
      <c r="BI97" s="42"/>
      <c r="BJ97" s="42">
        <v>0</v>
      </c>
      <c r="BK97" s="42"/>
      <c r="BL97" s="42"/>
      <c r="BM97" s="42"/>
      <c r="BN97" s="42">
        <f aca="true" t="shared" si="108" ref="BN97:BN103">SUM(BH97-BI97+BJ97-BK97+BL97)</f>
        <v>9442800</v>
      </c>
      <c r="BO97" s="42"/>
      <c r="BP97" s="42"/>
      <c r="BQ97" s="42"/>
      <c r="BR97" s="42"/>
      <c r="BS97" s="42"/>
      <c r="BT97" s="42">
        <f aca="true" t="shared" si="109" ref="BT97:BT102">SUM(BN97-BO97+BP97-BQ97+BR97)</f>
        <v>9442800</v>
      </c>
      <c r="BU97" s="42">
        <v>46500</v>
      </c>
      <c r="BV97" s="42"/>
      <c r="BW97" s="42"/>
      <c r="BX97" s="42"/>
      <c r="BY97" s="42"/>
      <c r="BZ97" s="42">
        <f aca="true" t="shared" si="110" ref="BZ97:BZ106">SUM(BT97-BU97+BV97-BW97+BX97)</f>
        <v>9396300</v>
      </c>
      <c r="CA97" s="42">
        <v>9147200</v>
      </c>
      <c r="CB97" s="42"/>
      <c r="CC97" s="42"/>
      <c r="CD97" s="42">
        <f>SUM(BX97-BY97+BZ97-CA97+CB97)</f>
        <v>249100</v>
      </c>
    </row>
    <row r="98" spans="1:82" ht="15.75">
      <c r="A98" s="43"/>
      <c r="B98" s="44"/>
      <c r="C98" s="44" t="s">
        <v>128</v>
      </c>
      <c r="D98" s="44"/>
      <c r="E98" s="45"/>
      <c r="F98" s="45"/>
      <c r="G98" s="45"/>
      <c r="H98" s="45"/>
      <c r="I98" s="45"/>
      <c r="J98" s="45"/>
      <c r="K98" s="45"/>
      <c r="L98" s="45">
        <f>SUM(F98-G98+H98-I98+J98)</f>
        <v>0</v>
      </c>
      <c r="M98" s="45"/>
      <c r="N98" s="45"/>
      <c r="O98" s="45"/>
      <c r="P98" s="45"/>
      <c r="Q98" s="45"/>
      <c r="R98" s="45">
        <f t="shared" si="100"/>
        <v>0</v>
      </c>
      <c r="S98" s="45"/>
      <c r="T98" s="45">
        <v>522000</v>
      </c>
      <c r="U98" s="45"/>
      <c r="V98" s="45"/>
      <c r="W98" s="45"/>
      <c r="X98" s="45">
        <f t="shared" si="101"/>
        <v>522000</v>
      </c>
      <c r="Y98" s="45"/>
      <c r="Z98" s="45"/>
      <c r="AA98" s="45"/>
      <c r="AB98" s="45"/>
      <c r="AC98" s="45"/>
      <c r="AD98" s="45">
        <f t="shared" si="102"/>
        <v>522000</v>
      </c>
      <c r="AE98" s="527"/>
      <c r="AF98" s="45">
        <v>522000</v>
      </c>
      <c r="AG98" s="45"/>
      <c r="AH98" s="45"/>
      <c r="AI98" s="45"/>
      <c r="AJ98" s="45">
        <f t="shared" si="103"/>
        <v>1044000</v>
      </c>
      <c r="AK98" s="45">
        <v>8000</v>
      </c>
      <c r="AL98" s="45"/>
      <c r="AM98" s="45"/>
      <c r="AN98" s="45"/>
      <c r="AO98" s="45"/>
      <c r="AP98" s="45">
        <f t="shared" si="104"/>
        <v>1036000</v>
      </c>
      <c r="AQ98" s="45"/>
      <c r="AR98" s="45"/>
      <c r="AS98" s="45"/>
      <c r="AT98" s="45"/>
      <c r="AU98" s="45"/>
      <c r="AV98" s="45">
        <f t="shared" si="105"/>
        <v>1036000</v>
      </c>
      <c r="AW98" s="45"/>
      <c r="AX98" s="45">
        <v>506500</v>
      </c>
      <c r="AY98" s="45"/>
      <c r="AZ98" s="45"/>
      <c r="BA98" s="45"/>
      <c r="BB98" s="45">
        <f t="shared" si="106"/>
        <v>1542500</v>
      </c>
      <c r="BC98" s="45"/>
      <c r="BD98" s="45"/>
      <c r="BE98" s="45"/>
      <c r="BF98" s="45"/>
      <c r="BG98" s="45"/>
      <c r="BH98" s="45">
        <f t="shared" si="107"/>
        <v>1542500</v>
      </c>
      <c r="BI98" s="45"/>
      <c r="BJ98" s="45">
        <v>0</v>
      </c>
      <c r="BK98" s="45"/>
      <c r="BL98" s="45"/>
      <c r="BM98" s="45"/>
      <c r="BN98" s="45">
        <f t="shared" si="108"/>
        <v>1542500</v>
      </c>
      <c r="BO98" s="45"/>
      <c r="BP98" s="45"/>
      <c r="BQ98" s="45"/>
      <c r="BR98" s="45"/>
      <c r="BS98" s="45"/>
      <c r="BT98" s="45">
        <f t="shared" si="109"/>
        <v>1542500</v>
      </c>
      <c r="BU98" s="45"/>
      <c r="BV98" s="45">
        <v>0</v>
      </c>
      <c r="BW98" s="45"/>
      <c r="BX98" s="45"/>
      <c r="BY98" s="45"/>
      <c r="BZ98" s="45">
        <f t="shared" si="110"/>
        <v>1542500</v>
      </c>
      <c r="CA98" s="45">
        <v>1025000</v>
      </c>
      <c r="CB98" s="45"/>
      <c r="CC98" s="45"/>
      <c r="CD98" s="45">
        <f aca="true" t="shared" si="111" ref="CD98:CD106">SUM(BX98-BY98+BZ98-CA98+CB98)</f>
        <v>517500</v>
      </c>
    </row>
    <row r="99" spans="1:82" ht="15.75">
      <c r="A99" s="43"/>
      <c r="B99" s="44"/>
      <c r="C99" s="44" t="s">
        <v>498</v>
      </c>
      <c r="D99" s="44"/>
      <c r="E99" s="45"/>
      <c r="F99" s="45"/>
      <c r="G99" s="45"/>
      <c r="H99" s="45"/>
      <c r="I99" s="45"/>
      <c r="J99" s="45"/>
      <c r="K99" s="45"/>
      <c r="L99" s="45">
        <f>SUM(F99-G99+H99-I99+J99)</f>
        <v>0</v>
      </c>
      <c r="M99" s="45"/>
      <c r="N99" s="45"/>
      <c r="O99" s="45"/>
      <c r="P99" s="45"/>
      <c r="Q99" s="45"/>
      <c r="R99" s="45">
        <f t="shared" si="100"/>
        <v>0</v>
      </c>
      <c r="S99" s="45"/>
      <c r="T99" s="45">
        <v>0</v>
      </c>
      <c r="U99" s="45"/>
      <c r="V99" s="45"/>
      <c r="W99" s="45"/>
      <c r="X99" s="45">
        <f t="shared" si="101"/>
        <v>0</v>
      </c>
      <c r="Y99" s="45"/>
      <c r="Z99" s="45"/>
      <c r="AA99" s="45"/>
      <c r="AB99" s="45"/>
      <c r="AC99" s="45"/>
      <c r="AD99" s="45">
        <f t="shared" si="102"/>
        <v>0</v>
      </c>
      <c r="AE99" s="527"/>
      <c r="AF99" s="527"/>
      <c r="AG99" s="45"/>
      <c r="AH99" s="45"/>
      <c r="AI99" s="45"/>
      <c r="AJ99" s="45">
        <f t="shared" si="103"/>
        <v>0</v>
      </c>
      <c r="AK99" s="45"/>
      <c r="AL99" s="45"/>
      <c r="AM99" s="45"/>
      <c r="AN99" s="45"/>
      <c r="AO99" s="45"/>
      <c r="AP99" s="45">
        <f t="shared" si="104"/>
        <v>0</v>
      </c>
      <c r="AQ99" s="45"/>
      <c r="AR99" s="45"/>
      <c r="AS99" s="45"/>
      <c r="AT99" s="45"/>
      <c r="AU99" s="45"/>
      <c r="AV99" s="45">
        <f t="shared" si="105"/>
        <v>0</v>
      </c>
      <c r="AW99" s="45"/>
      <c r="AX99" s="45">
        <v>63000</v>
      </c>
      <c r="AY99" s="45"/>
      <c r="AZ99" s="45"/>
      <c r="BA99" s="45"/>
      <c r="BB99" s="45">
        <f t="shared" si="106"/>
        <v>63000</v>
      </c>
      <c r="BC99" s="45"/>
      <c r="BD99" s="45">
        <v>27000</v>
      </c>
      <c r="BE99" s="45"/>
      <c r="BF99" s="45"/>
      <c r="BG99" s="45"/>
      <c r="BH99" s="45">
        <f t="shared" si="107"/>
        <v>90000</v>
      </c>
      <c r="BI99" s="45"/>
      <c r="BJ99" s="45">
        <v>36000</v>
      </c>
      <c r="BK99" s="45"/>
      <c r="BL99" s="45"/>
      <c r="BM99" s="45"/>
      <c r="BN99" s="45">
        <f t="shared" si="108"/>
        <v>126000</v>
      </c>
      <c r="BO99" s="45"/>
      <c r="BP99" s="45">
        <v>36000</v>
      </c>
      <c r="BQ99" s="45"/>
      <c r="BR99" s="45"/>
      <c r="BS99" s="45"/>
      <c r="BT99" s="45">
        <f t="shared" si="109"/>
        <v>162000</v>
      </c>
      <c r="BU99" s="45"/>
      <c r="BV99" s="45">
        <v>36000</v>
      </c>
      <c r="BW99" s="45"/>
      <c r="BX99" s="45"/>
      <c r="BY99" s="45"/>
      <c r="BZ99" s="45">
        <f t="shared" si="110"/>
        <v>198000</v>
      </c>
      <c r="CA99" s="45">
        <v>450000</v>
      </c>
      <c r="CB99" s="45"/>
      <c r="CC99" s="45"/>
      <c r="CD99" s="45">
        <f t="shared" si="111"/>
        <v>-252000</v>
      </c>
    </row>
    <row r="100" spans="1:82" ht="15.75">
      <c r="A100" s="43"/>
      <c r="B100" s="44"/>
      <c r="C100" s="44" t="s">
        <v>629</v>
      </c>
      <c r="D100" s="44"/>
      <c r="E100" s="45"/>
      <c r="F100" s="45"/>
      <c r="G100" s="45"/>
      <c r="H100" s="45"/>
      <c r="I100" s="45"/>
      <c r="J100" s="45"/>
      <c r="K100" s="45"/>
      <c r="L100" s="45">
        <f>SUM(F100-G100+H100-I100+J100)</f>
        <v>0</v>
      </c>
      <c r="M100" s="45"/>
      <c r="N100" s="45"/>
      <c r="O100" s="45"/>
      <c r="P100" s="45"/>
      <c r="Q100" s="45"/>
      <c r="R100" s="45">
        <f t="shared" si="100"/>
        <v>0</v>
      </c>
      <c r="S100" s="45"/>
      <c r="T100" s="45">
        <v>0</v>
      </c>
      <c r="U100" s="45"/>
      <c r="V100" s="45"/>
      <c r="W100" s="45"/>
      <c r="X100" s="45">
        <f t="shared" si="101"/>
        <v>0</v>
      </c>
      <c r="Y100" s="45"/>
      <c r="Z100" s="45">
        <v>240000</v>
      </c>
      <c r="AA100" s="45"/>
      <c r="AB100" s="45"/>
      <c r="AC100" s="45"/>
      <c r="AD100" s="45">
        <f t="shared" si="102"/>
        <v>240000</v>
      </c>
      <c r="AE100" s="527"/>
      <c r="AF100" s="45">
        <v>60000</v>
      </c>
      <c r="AG100" s="45"/>
      <c r="AH100" s="45"/>
      <c r="AI100" s="45"/>
      <c r="AJ100" s="45">
        <f t="shared" si="103"/>
        <v>300000</v>
      </c>
      <c r="AK100" s="45"/>
      <c r="AL100" s="45">
        <v>150000</v>
      </c>
      <c r="AM100" s="45"/>
      <c r="AN100" s="45"/>
      <c r="AO100" s="45"/>
      <c r="AP100" s="45">
        <f t="shared" si="104"/>
        <v>450000</v>
      </c>
      <c r="AQ100" s="45"/>
      <c r="AR100" s="45"/>
      <c r="AS100" s="45"/>
      <c r="AT100" s="45"/>
      <c r="AU100" s="45"/>
      <c r="AV100" s="45">
        <f t="shared" si="105"/>
        <v>450000</v>
      </c>
      <c r="AW100" s="45"/>
      <c r="AX100" s="45">
        <v>2520</v>
      </c>
      <c r="AY100" s="45"/>
      <c r="AZ100" s="45"/>
      <c r="BA100" s="45"/>
      <c r="BB100" s="45">
        <f t="shared" si="106"/>
        <v>452520</v>
      </c>
      <c r="BC100" s="45"/>
      <c r="BD100" s="45">
        <v>1080</v>
      </c>
      <c r="BE100" s="45"/>
      <c r="BF100" s="45"/>
      <c r="BG100" s="45"/>
      <c r="BH100" s="45">
        <f t="shared" si="107"/>
        <v>453600</v>
      </c>
      <c r="BI100" s="45"/>
      <c r="BJ100" s="45">
        <v>1440</v>
      </c>
      <c r="BK100" s="45"/>
      <c r="BL100" s="45"/>
      <c r="BM100" s="45"/>
      <c r="BN100" s="45">
        <f t="shared" si="108"/>
        <v>455040</v>
      </c>
      <c r="BO100" s="45"/>
      <c r="BP100" s="45">
        <v>1440</v>
      </c>
      <c r="BQ100" s="45"/>
      <c r="BR100" s="45"/>
      <c r="BS100" s="45"/>
      <c r="BT100" s="45">
        <f t="shared" si="109"/>
        <v>456480</v>
      </c>
      <c r="BU100" s="45"/>
      <c r="BV100" s="45">
        <v>1440</v>
      </c>
      <c r="BW100" s="45">
        <v>450</v>
      </c>
      <c r="BX100" s="45"/>
      <c r="BY100" s="45"/>
      <c r="BZ100" s="45">
        <f t="shared" si="110"/>
        <v>457470</v>
      </c>
      <c r="CA100" s="45">
        <v>18000</v>
      </c>
      <c r="CB100" s="45"/>
      <c r="CC100" s="45"/>
      <c r="CD100" s="45">
        <f t="shared" si="111"/>
        <v>439470</v>
      </c>
    </row>
    <row r="101" spans="1:82" ht="15.75">
      <c r="A101" s="43"/>
      <c r="B101" s="44"/>
      <c r="C101" s="44" t="s">
        <v>630</v>
      </c>
      <c r="D101" s="44"/>
      <c r="E101" s="45"/>
      <c r="F101" s="45"/>
      <c r="G101" s="45"/>
      <c r="H101" s="45"/>
      <c r="I101" s="45"/>
      <c r="J101" s="45"/>
      <c r="K101" s="45"/>
      <c r="L101" s="45">
        <f>SUM(F101-G101+H101-I101+J101)</f>
        <v>0</v>
      </c>
      <c r="M101" s="45"/>
      <c r="N101" s="45"/>
      <c r="O101" s="45"/>
      <c r="P101" s="45"/>
      <c r="Q101" s="45"/>
      <c r="R101" s="45">
        <f t="shared" si="100"/>
        <v>0</v>
      </c>
      <c r="S101" s="45"/>
      <c r="T101" s="45">
        <v>0</v>
      </c>
      <c r="U101" s="45"/>
      <c r="V101" s="45"/>
      <c r="W101" s="45"/>
      <c r="X101" s="45">
        <f t="shared" si="101"/>
        <v>0</v>
      </c>
      <c r="Y101" s="45"/>
      <c r="Z101" s="45">
        <v>144000</v>
      </c>
      <c r="AA101" s="45"/>
      <c r="AB101" s="45"/>
      <c r="AC101" s="45"/>
      <c r="AD101" s="45">
        <f t="shared" si="102"/>
        <v>144000</v>
      </c>
      <c r="AE101" s="527"/>
      <c r="AF101" s="45">
        <v>36000</v>
      </c>
      <c r="AG101" s="45"/>
      <c r="AH101" s="45"/>
      <c r="AI101" s="45"/>
      <c r="AJ101" s="45">
        <f t="shared" si="103"/>
        <v>180000</v>
      </c>
      <c r="AK101" s="45"/>
      <c r="AL101" s="45">
        <v>36000</v>
      </c>
      <c r="AM101" s="45"/>
      <c r="AN101" s="45"/>
      <c r="AO101" s="45"/>
      <c r="AP101" s="45">
        <f t="shared" si="104"/>
        <v>216000</v>
      </c>
      <c r="AQ101" s="45"/>
      <c r="AR101" s="45"/>
      <c r="AS101" s="45"/>
      <c r="AT101" s="45"/>
      <c r="AU101" s="45"/>
      <c r="AV101" s="45">
        <f t="shared" si="105"/>
        <v>216000</v>
      </c>
      <c r="AW101" s="45"/>
      <c r="AX101" s="45">
        <v>0</v>
      </c>
      <c r="AY101" s="45"/>
      <c r="AZ101" s="45"/>
      <c r="BA101" s="45"/>
      <c r="BB101" s="45">
        <f t="shared" si="106"/>
        <v>216000</v>
      </c>
      <c r="BC101" s="45"/>
      <c r="BD101" s="45">
        <v>338047</v>
      </c>
      <c r="BE101" s="45"/>
      <c r="BF101" s="45"/>
      <c r="BG101" s="45"/>
      <c r="BH101" s="45">
        <f t="shared" si="107"/>
        <v>554047</v>
      </c>
      <c r="BI101" s="45"/>
      <c r="BJ101" s="45">
        <v>0</v>
      </c>
      <c r="BK101" s="45"/>
      <c r="BL101" s="45"/>
      <c r="BM101" s="45"/>
      <c r="BN101" s="45">
        <f t="shared" si="108"/>
        <v>554047</v>
      </c>
      <c r="BO101" s="45"/>
      <c r="BP101" s="45"/>
      <c r="BQ101" s="45"/>
      <c r="BR101" s="45"/>
      <c r="BS101" s="45"/>
      <c r="BT101" s="45">
        <f t="shared" si="109"/>
        <v>554047</v>
      </c>
      <c r="BU101" s="45"/>
      <c r="BV101" s="45"/>
      <c r="BW101" s="45"/>
      <c r="BX101" s="45"/>
      <c r="BY101" s="45"/>
      <c r="BZ101" s="45">
        <f t="shared" si="110"/>
        <v>554047</v>
      </c>
      <c r="CA101" s="45">
        <v>338047</v>
      </c>
      <c r="CB101" s="45"/>
      <c r="CC101" s="45"/>
      <c r="CD101" s="45">
        <f t="shared" si="111"/>
        <v>216000</v>
      </c>
    </row>
    <row r="102" spans="1:82" ht="15.75">
      <c r="A102" s="81"/>
      <c r="B102" s="82"/>
      <c r="C102" s="44" t="s">
        <v>631</v>
      </c>
      <c r="D102" s="82"/>
      <c r="E102" s="63"/>
      <c r="F102" s="63"/>
      <c r="G102" s="63"/>
      <c r="H102" s="63"/>
      <c r="I102" s="63"/>
      <c r="J102" s="63"/>
      <c r="K102" s="63"/>
      <c r="L102" s="45">
        <f>SUM(F102-G102+H102-I102+J102)</f>
        <v>0</v>
      </c>
      <c r="M102" s="63"/>
      <c r="N102" s="63"/>
      <c r="O102" s="63"/>
      <c r="P102" s="63"/>
      <c r="Q102" s="63"/>
      <c r="R102" s="45">
        <f t="shared" si="100"/>
        <v>0</v>
      </c>
      <c r="S102" s="63"/>
      <c r="T102" s="63">
        <v>0</v>
      </c>
      <c r="U102" s="63"/>
      <c r="V102" s="63"/>
      <c r="W102" s="63"/>
      <c r="X102" s="45">
        <f t="shared" si="101"/>
        <v>0</v>
      </c>
      <c r="Y102" s="63"/>
      <c r="Z102" s="63">
        <v>6120</v>
      </c>
      <c r="AA102" s="63"/>
      <c r="AB102" s="63"/>
      <c r="AC102" s="63"/>
      <c r="AD102" s="45">
        <f t="shared" si="102"/>
        <v>6120</v>
      </c>
      <c r="AE102" s="533"/>
      <c r="AF102" s="63">
        <v>1800</v>
      </c>
      <c r="AG102" s="63"/>
      <c r="AH102" s="63"/>
      <c r="AI102" s="63"/>
      <c r="AJ102" s="45">
        <f t="shared" si="103"/>
        <v>7920</v>
      </c>
      <c r="AK102" s="63"/>
      <c r="AL102" s="63">
        <v>1800</v>
      </c>
      <c r="AM102" s="63"/>
      <c r="AN102" s="63"/>
      <c r="AO102" s="63"/>
      <c r="AP102" s="45">
        <f t="shared" si="104"/>
        <v>9720</v>
      </c>
      <c r="AQ102" s="63"/>
      <c r="AR102" s="63"/>
      <c r="AS102" s="63"/>
      <c r="AT102" s="63"/>
      <c r="AU102" s="63"/>
      <c r="AV102" s="45">
        <f t="shared" si="105"/>
        <v>9720</v>
      </c>
      <c r="AW102" s="63"/>
      <c r="AX102" s="63"/>
      <c r="AY102" s="63"/>
      <c r="AZ102" s="63"/>
      <c r="BA102" s="63"/>
      <c r="BB102" s="45">
        <f t="shared" si="106"/>
        <v>9720</v>
      </c>
      <c r="BC102" s="63"/>
      <c r="BD102" s="63">
        <v>0</v>
      </c>
      <c r="BE102" s="63"/>
      <c r="BF102" s="63"/>
      <c r="BG102" s="63"/>
      <c r="BH102" s="45">
        <f t="shared" si="107"/>
        <v>9720</v>
      </c>
      <c r="BI102" s="63"/>
      <c r="BJ102" s="63">
        <v>0</v>
      </c>
      <c r="BK102" s="63"/>
      <c r="BL102" s="63"/>
      <c r="BM102" s="63"/>
      <c r="BN102" s="45">
        <f t="shared" si="108"/>
        <v>9720</v>
      </c>
      <c r="BO102" s="63"/>
      <c r="BP102" s="63">
        <v>45500</v>
      </c>
      <c r="BQ102" s="63"/>
      <c r="BR102" s="63"/>
      <c r="BS102" s="63"/>
      <c r="BT102" s="45">
        <f t="shared" si="109"/>
        <v>55220</v>
      </c>
      <c r="BU102" s="63"/>
      <c r="BV102" s="63"/>
      <c r="BW102" s="63"/>
      <c r="BX102" s="63"/>
      <c r="BY102" s="63"/>
      <c r="BZ102" s="45">
        <f t="shared" si="110"/>
        <v>55220</v>
      </c>
      <c r="CA102" s="63">
        <v>45500</v>
      </c>
      <c r="CB102" s="63"/>
      <c r="CC102" s="63"/>
      <c r="CD102" s="45">
        <f t="shared" si="111"/>
        <v>9720</v>
      </c>
    </row>
    <row r="103" spans="1:82" ht="15.75">
      <c r="A103" s="81"/>
      <c r="B103" s="82"/>
      <c r="C103" s="82" t="s">
        <v>632</v>
      </c>
      <c r="D103" s="82"/>
      <c r="E103" s="63"/>
      <c r="F103" s="63"/>
      <c r="G103" s="63"/>
      <c r="H103" s="63"/>
      <c r="I103" s="63"/>
      <c r="J103" s="63"/>
      <c r="K103" s="63"/>
      <c r="L103" s="45">
        <f>SUM(F103-G103+H103-I103+J103)</f>
        <v>0</v>
      </c>
      <c r="M103" s="63"/>
      <c r="N103" s="63"/>
      <c r="O103" s="63"/>
      <c r="P103" s="63"/>
      <c r="Q103" s="63"/>
      <c r="R103" s="45">
        <f t="shared" si="100"/>
        <v>0</v>
      </c>
      <c r="S103" s="63"/>
      <c r="T103" s="63">
        <v>0</v>
      </c>
      <c r="U103" s="63"/>
      <c r="V103" s="63"/>
      <c r="W103" s="63"/>
      <c r="X103" s="45">
        <f t="shared" si="101"/>
        <v>0</v>
      </c>
      <c r="Y103" s="63"/>
      <c r="Z103" s="63"/>
      <c r="AA103" s="63"/>
      <c r="AB103" s="63"/>
      <c r="AC103" s="63"/>
      <c r="AD103" s="45">
        <f t="shared" si="102"/>
        <v>0</v>
      </c>
      <c r="AE103" s="533"/>
      <c r="AF103" s="533"/>
      <c r="AG103" s="63"/>
      <c r="AH103" s="63"/>
      <c r="AI103" s="63"/>
      <c r="AJ103" s="45">
        <f t="shared" si="103"/>
        <v>0</v>
      </c>
      <c r="AK103" s="63"/>
      <c r="AL103" s="63"/>
      <c r="AM103" s="63"/>
      <c r="AN103" s="63"/>
      <c r="AO103" s="63"/>
      <c r="AP103" s="45">
        <f t="shared" si="104"/>
        <v>0</v>
      </c>
      <c r="AQ103" s="63"/>
      <c r="AR103" s="63"/>
      <c r="AS103" s="63"/>
      <c r="AT103" s="63"/>
      <c r="AU103" s="63"/>
      <c r="AV103" s="45">
        <f t="shared" si="105"/>
        <v>0</v>
      </c>
      <c r="AW103" s="63"/>
      <c r="AX103" s="63"/>
      <c r="AY103" s="63"/>
      <c r="AZ103" s="63"/>
      <c r="BA103" s="63"/>
      <c r="BB103" s="45">
        <f t="shared" si="106"/>
        <v>0</v>
      </c>
      <c r="BC103" s="63"/>
      <c r="BD103" s="63"/>
      <c r="BE103" s="63"/>
      <c r="BF103" s="63"/>
      <c r="BG103" s="63"/>
      <c r="BH103" s="63">
        <f t="shared" si="107"/>
        <v>0</v>
      </c>
      <c r="BI103" s="63"/>
      <c r="BJ103" s="63"/>
      <c r="BK103" s="63"/>
      <c r="BL103" s="63"/>
      <c r="BM103" s="63"/>
      <c r="BN103" s="63">
        <f t="shared" si="108"/>
        <v>0</v>
      </c>
      <c r="BO103" s="63"/>
      <c r="BP103" s="63">
        <v>7704</v>
      </c>
      <c r="BQ103" s="63"/>
      <c r="BR103" s="63"/>
      <c r="BS103" s="63"/>
      <c r="BT103" s="63">
        <f>SUM(BN103-BO103+BP103-BQ103+BR103)</f>
        <v>7704</v>
      </c>
      <c r="BU103" s="63"/>
      <c r="BV103" s="63"/>
      <c r="BW103" s="63"/>
      <c r="BX103" s="63"/>
      <c r="BY103" s="63"/>
      <c r="BZ103" s="63">
        <f t="shared" si="110"/>
        <v>7704</v>
      </c>
      <c r="CA103" s="63">
        <v>17002</v>
      </c>
      <c r="CB103" s="63"/>
      <c r="CC103" s="63"/>
      <c r="CD103" s="63">
        <f t="shared" si="111"/>
        <v>-9298</v>
      </c>
    </row>
    <row r="104" spans="1:82" ht="15.75">
      <c r="A104" s="81"/>
      <c r="B104" s="82"/>
      <c r="C104" s="82"/>
      <c r="D104" s="82"/>
      <c r="E104" s="63"/>
      <c r="F104" s="63"/>
      <c r="G104" s="63"/>
      <c r="H104" s="63"/>
      <c r="I104" s="63"/>
      <c r="J104" s="63"/>
      <c r="K104" s="63"/>
      <c r="L104" s="45">
        <f>SUM(F104-G104+H104-I104+J104)</f>
        <v>0</v>
      </c>
      <c r="M104" s="63"/>
      <c r="N104" s="63"/>
      <c r="O104" s="63"/>
      <c r="P104" s="63"/>
      <c r="Q104" s="63"/>
      <c r="R104" s="45">
        <f t="shared" si="100"/>
        <v>0</v>
      </c>
      <c r="S104" s="63"/>
      <c r="T104" s="63">
        <v>0</v>
      </c>
      <c r="U104" s="63"/>
      <c r="V104" s="63"/>
      <c r="W104" s="63"/>
      <c r="X104" s="45">
        <f t="shared" si="101"/>
        <v>0</v>
      </c>
      <c r="Y104" s="63"/>
      <c r="Z104" s="63"/>
      <c r="AA104" s="63"/>
      <c r="AB104" s="63"/>
      <c r="AC104" s="63"/>
      <c r="AD104" s="45">
        <f t="shared" si="102"/>
        <v>0</v>
      </c>
      <c r="AE104" s="533"/>
      <c r="AF104" s="533"/>
      <c r="AG104" s="63"/>
      <c r="AH104" s="63"/>
      <c r="AI104" s="63"/>
      <c r="AJ104" s="45">
        <f t="shared" si="103"/>
        <v>0</v>
      </c>
      <c r="AK104" s="63"/>
      <c r="AL104" s="63"/>
      <c r="AM104" s="63"/>
      <c r="AN104" s="63"/>
      <c r="AO104" s="63"/>
      <c r="AP104" s="45">
        <f t="shared" si="104"/>
        <v>0</v>
      </c>
      <c r="AQ104" s="63"/>
      <c r="AR104" s="63"/>
      <c r="AS104" s="63"/>
      <c r="AT104" s="63"/>
      <c r="AU104" s="63"/>
      <c r="AV104" s="45">
        <f t="shared" si="105"/>
        <v>0</v>
      </c>
      <c r="AW104" s="63"/>
      <c r="AX104" s="63">
        <v>51514.02</v>
      </c>
      <c r="AY104" s="63"/>
      <c r="AZ104" s="63"/>
      <c r="BA104" s="63"/>
      <c r="BB104" s="45">
        <f t="shared" si="106"/>
        <v>51514.02</v>
      </c>
      <c r="BC104" s="63"/>
      <c r="BD104" s="63"/>
      <c r="BE104" s="63"/>
      <c r="BF104" s="63"/>
      <c r="BG104" s="63"/>
      <c r="BH104" s="63">
        <f t="shared" si="107"/>
        <v>51514.02</v>
      </c>
      <c r="BI104" s="63"/>
      <c r="BJ104" s="63"/>
      <c r="BK104" s="63"/>
      <c r="BL104" s="63"/>
      <c r="BM104" s="63"/>
      <c r="BN104" s="63">
        <f>SUM(BH104-BI104+BJ104-BK104+BL104)</f>
        <v>51514.02</v>
      </c>
      <c r="BO104" s="63"/>
      <c r="BP104" s="63"/>
      <c r="BQ104" s="63"/>
      <c r="BR104" s="63"/>
      <c r="BS104" s="63"/>
      <c r="BT104" s="63">
        <f>SUM(BN104-BO104+BP104-BQ104+BR104)</f>
        <v>51514.02</v>
      </c>
      <c r="BU104" s="63"/>
      <c r="BV104" s="63"/>
      <c r="BW104" s="63"/>
      <c r="BX104" s="63"/>
      <c r="BY104" s="63"/>
      <c r="BZ104" s="63">
        <f t="shared" si="110"/>
        <v>51514.02</v>
      </c>
      <c r="CA104" s="63">
        <v>51514.02</v>
      </c>
      <c r="CB104" s="63"/>
      <c r="CC104" s="63"/>
      <c r="CD104" s="63">
        <f t="shared" si="111"/>
        <v>0</v>
      </c>
    </row>
    <row r="105" spans="1:82" ht="15.75">
      <c r="A105" s="81"/>
      <c r="B105" s="82"/>
      <c r="C105" s="82"/>
      <c r="D105" s="82"/>
      <c r="E105" s="63"/>
      <c r="F105" s="63"/>
      <c r="G105" s="63"/>
      <c r="H105" s="63"/>
      <c r="I105" s="63"/>
      <c r="J105" s="63"/>
      <c r="K105" s="63"/>
      <c r="L105" s="45">
        <f>SUM(F105-G105+H105-I105+J105)</f>
        <v>0</v>
      </c>
      <c r="M105" s="63"/>
      <c r="N105" s="63"/>
      <c r="O105" s="63"/>
      <c r="P105" s="63"/>
      <c r="Q105" s="63"/>
      <c r="R105" s="45">
        <f t="shared" si="100"/>
        <v>0</v>
      </c>
      <c r="S105" s="63"/>
      <c r="T105" s="63">
        <v>0</v>
      </c>
      <c r="U105" s="63"/>
      <c r="V105" s="63"/>
      <c r="W105" s="63"/>
      <c r="X105" s="63">
        <f t="shared" si="101"/>
        <v>0</v>
      </c>
      <c r="Y105" s="63"/>
      <c r="Z105" s="63"/>
      <c r="AA105" s="63"/>
      <c r="AB105" s="63"/>
      <c r="AC105" s="63"/>
      <c r="AD105" s="63">
        <f t="shared" si="102"/>
        <v>0</v>
      </c>
      <c r="AE105" s="533"/>
      <c r="AF105" s="533"/>
      <c r="AG105" s="63"/>
      <c r="AH105" s="63"/>
      <c r="AI105" s="63"/>
      <c r="AJ105" s="63">
        <f t="shared" si="103"/>
        <v>0</v>
      </c>
      <c r="AK105" s="63"/>
      <c r="AL105" s="63"/>
      <c r="AM105" s="63"/>
      <c r="AN105" s="63"/>
      <c r="AO105" s="63"/>
      <c r="AP105" s="63">
        <f t="shared" si="104"/>
        <v>0</v>
      </c>
      <c r="AQ105" s="63"/>
      <c r="AR105" s="63"/>
      <c r="AS105" s="63"/>
      <c r="AT105" s="63"/>
      <c r="AU105" s="63"/>
      <c r="AV105" s="63">
        <f t="shared" si="105"/>
        <v>0</v>
      </c>
      <c r="AW105" s="63"/>
      <c r="AX105" s="63">
        <v>210000</v>
      </c>
      <c r="AY105" s="63"/>
      <c r="AZ105" s="63"/>
      <c r="BA105" s="63"/>
      <c r="BB105" s="63">
        <f t="shared" si="106"/>
        <v>210000</v>
      </c>
      <c r="BC105" s="63"/>
      <c r="BD105" s="63">
        <v>45000</v>
      </c>
      <c r="BE105" s="63"/>
      <c r="BF105" s="63"/>
      <c r="BG105" s="63"/>
      <c r="BH105" s="63">
        <f t="shared" si="107"/>
        <v>255000</v>
      </c>
      <c r="BI105" s="63"/>
      <c r="BJ105" s="63">
        <v>60000</v>
      </c>
      <c r="BK105" s="63"/>
      <c r="BL105" s="63"/>
      <c r="BM105" s="63"/>
      <c r="BN105" s="63">
        <f>SUM(BH105-BI105+BJ105-BK105+BL105)</f>
        <v>315000</v>
      </c>
      <c r="BO105" s="63"/>
      <c r="BP105" s="63">
        <v>60000</v>
      </c>
      <c r="BQ105" s="63"/>
      <c r="BR105" s="63"/>
      <c r="BS105" s="63"/>
      <c r="BT105" s="63">
        <f>SUM(BN105-BO105+BP105-BQ105+BR105)</f>
        <v>375000</v>
      </c>
      <c r="BU105" s="63"/>
      <c r="BV105" s="63"/>
      <c r="BW105" s="63"/>
      <c r="BX105" s="63"/>
      <c r="BY105" s="63"/>
      <c r="BZ105" s="63">
        <f t="shared" si="110"/>
        <v>375000</v>
      </c>
      <c r="CA105" s="63">
        <v>600000</v>
      </c>
      <c r="CB105" s="63"/>
      <c r="CC105" s="63"/>
      <c r="CD105" s="63">
        <f t="shared" si="111"/>
        <v>-225000</v>
      </c>
    </row>
    <row r="106" spans="1:84" s="82" customFormat="1" ht="15.75">
      <c r="A106" s="46"/>
      <c r="B106" s="47"/>
      <c r="C106" s="47"/>
      <c r="D106" s="47"/>
      <c r="E106" s="48"/>
      <c r="F106" s="48"/>
      <c r="G106" s="48"/>
      <c r="H106" s="48"/>
      <c r="I106" s="48"/>
      <c r="J106" s="48"/>
      <c r="K106" s="48"/>
      <c r="L106" s="45">
        <f>SUM(F106-G106+H106-I106+J106)</f>
        <v>0</v>
      </c>
      <c r="M106" s="48"/>
      <c r="N106" s="48"/>
      <c r="O106" s="48"/>
      <c r="P106" s="48"/>
      <c r="Q106" s="48"/>
      <c r="R106" s="45">
        <f t="shared" si="100"/>
        <v>0</v>
      </c>
      <c r="S106" s="48"/>
      <c r="T106" s="48">
        <v>0</v>
      </c>
      <c r="U106" s="48"/>
      <c r="V106" s="48"/>
      <c r="W106" s="48"/>
      <c r="X106" s="63">
        <f t="shared" si="101"/>
        <v>0</v>
      </c>
      <c r="Y106" s="48"/>
      <c r="Z106" s="48"/>
      <c r="AA106" s="48"/>
      <c r="AB106" s="48"/>
      <c r="AC106" s="48"/>
      <c r="AD106" s="63"/>
      <c r="AE106" s="528"/>
      <c r="AF106" s="528"/>
      <c r="AG106" s="48"/>
      <c r="AH106" s="48"/>
      <c r="AI106" s="48"/>
      <c r="AJ106" s="63"/>
      <c r="AK106" s="48"/>
      <c r="AL106" s="48"/>
      <c r="AM106" s="48"/>
      <c r="AN106" s="48"/>
      <c r="AO106" s="48"/>
      <c r="AP106" s="63"/>
      <c r="AQ106" s="48"/>
      <c r="AR106" s="48"/>
      <c r="AS106" s="48"/>
      <c r="AT106" s="48"/>
      <c r="AU106" s="48"/>
      <c r="AV106" s="63"/>
      <c r="AW106" s="48"/>
      <c r="AX106" s="48"/>
      <c r="AY106" s="48"/>
      <c r="AZ106" s="48"/>
      <c r="BA106" s="48"/>
      <c r="BB106" s="63"/>
      <c r="BC106" s="48"/>
      <c r="BD106" s="48"/>
      <c r="BE106" s="48"/>
      <c r="BF106" s="48"/>
      <c r="BG106" s="48"/>
      <c r="BH106" s="63"/>
      <c r="BI106" s="48"/>
      <c r="BJ106" s="48"/>
      <c r="BK106" s="48"/>
      <c r="BL106" s="48"/>
      <c r="BM106" s="48"/>
      <c r="BN106" s="63"/>
      <c r="BO106" s="48"/>
      <c r="BP106" s="48"/>
      <c r="BQ106" s="48"/>
      <c r="BR106" s="48"/>
      <c r="BS106" s="48"/>
      <c r="BT106" s="63"/>
      <c r="BU106" s="48"/>
      <c r="BV106" s="48">
        <v>20000</v>
      </c>
      <c r="BW106" s="48"/>
      <c r="BX106" s="48"/>
      <c r="BY106" s="48"/>
      <c r="BZ106" s="63">
        <f t="shared" si="110"/>
        <v>20000</v>
      </c>
      <c r="CA106" s="48">
        <v>20000</v>
      </c>
      <c r="CB106" s="48"/>
      <c r="CC106" s="48"/>
      <c r="CD106" s="63">
        <f t="shared" si="111"/>
        <v>0</v>
      </c>
      <c r="CE106" s="291"/>
      <c r="CF106" s="291"/>
    </row>
    <row r="107" spans="1:84" s="407" customFormat="1" ht="15.75">
      <c r="A107" s="723" t="s">
        <v>32</v>
      </c>
      <c r="B107" s="724"/>
      <c r="C107" s="724"/>
      <c r="D107" s="724"/>
      <c r="E107" s="402">
        <f>SUM(E49,E79,E90)</f>
        <v>0</v>
      </c>
      <c r="F107" s="402">
        <f aca="true" t="shared" si="112" ref="F107:BQ107">SUM(F49,F79,F90)</f>
        <v>0</v>
      </c>
      <c r="G107" s="402">
        <f t="shared" si="112"/>
        <v>0</v>
      </c>
      <c r="H107" s="402">
        <f t="shared" si="112"/>
        <v>655305.8200000001</v>
      </c>
      <c r="I107" s="402">
        <f t="shared" si="112"/>
        <v>0</v>
      </c>
      <c r="J107" s="402">
        <f t="shared" si="112"/>
        <v>0</v>
      </c>
      <c r="K107" s="402">
        <f t="shared" si="112"/>
        <v>0</v>
      </c>
      <c r="L107" s="402">
        <f>SUM(L49,L79,L90)</f>
        <v>655305.8200000001</v>
      </c>
      <c r="M107" s="402">
        <f t="shared" si="112"/>
        <v>0</v>
      </c>
      <c r="N107" s="402">
        <f t="shared" si="112"/>
        <v>5614743.98</v>
      </c>
      <c r="O107" s="402">
        <f t="shared" si="112"/>
        <v>0</v>
      </c>
      <c r="P107" s="402">
        <f t="shared" si="112"/>
        <v>0</v>
      </c>
      <c r="Q107" s="402">
        <f t="shared" si="112"/>
        <v>0</v>
      </c>
      <c r="R107" s="402">
        <f t="shared" si="112"/>
        <v>6270049.8</v>
      </c>
      <c r="S107" s="402">
        <f t="shared" si="112"/>
        <v>0</v>
      </c>
      <c r="T107" s="402">
        <f>SUM(T49,T79,T90)</f>
        <v>17174597.66</v>
      </c>
      <c r="U107" s="402">
        <f t="shared" si="112"/>
        <v>0</v>
      </c>
      <c r="V107" s="402">
        <f t="shared" si="112"/>
        <v>0</v>
      </c>
      <c r="W107" s="402">
        <f t="shared" si="112"/>
        <v>0</v>
      </c>
      <c r="X107" s="402">
        <f t="shared" si="112"/>
        <v>23444647.46</v>
      </c>
      <c r="Y107" s="402">
        <f>SUM(Y49,Y79,Y90)</f>
        <v>0</v>
      </c>
      <c r="Z107" s="402">
        <f>SUM(Z49,Z79,Z90)</f>
        <v>2541351.93</v>
      </c>
      <c r="AA107" s="402">
        <f t="shared" si="112"/>
        <v>0</v>
      </c>
      <c r="AB107" s="402">
        <f t="shared" si="112"/>
        <v>0</v>
      </c>
      <c r="AC107" s="402">
        <f t="shared" si="112"/>
        <v>0</v>
      </c>
      <c r="AD107" s="402">
        <f t="shared" si="112"/>
        <v>25985999.39</v>
      </c>
      <c r="AE107" s="531">
        <f t="shared" si="112"/>
        <v>0</v>
      </c>
      <c r="AF107" s="402">
        <f>SUM(AF49,AF79,AF90)</f>
        <v>10154858.29</v>
      </c>
      <c r="AG107" s="402">
        <f t="shared" si="112"/>
        <v>0</v>
      </c>
      <c r="AH107" s="402">
        <f t="shared" si="112"/>
        <v>0</v>
      </c>
      <c r="AI107" s="402">
        <f t="shared" si="112"/>
        <v>0</v>
      </c>
      <c r="AJ107" s="402">
        <f>SUM(AJ49,AJ79,AJ90)</f>
        <v>36140857.68</v>
      </c>
      <c r="AK107" s="402">
        <f>SUM(AK49,AK79,AK90)</f>
        <v>101000</v>
      </c>
      <c r="AL107" s="402">
        <f>SUM(AL49,AL79,AL90)</f>
        <v>506484.23</v>
      </c>
      <c r="AM107" s="403">
        <f t="shared" si="112"/>
        <v>0</v>
      </c>
      <c r="AN107" s="403">
        <f>SUM(AN49,AN79,AN90)</f>
        <v>0</v>
      </c>
      <c r="AO107" s="402">
        <f t="shared" si="112"/>
        <v>0</v>
      </c>
      <c r="AP107" s="402">
        <f t="shared" si="112"/>
        <v>36546341.910000004</v>
      </c>
      <c r="AQ107" s="402">
        <f t="shared" si="112"/>
        <v>0</v>
      </c>
      <c r="AR107" s="402">
        <f t="shared" si="112"/>
        <v>0</v>
      </c>
      <c r="AS107" s="402">
        <f t="shared" si="112"/>
        <v>0</v>
      </c>
      <c r="AT107" s="402">
        <f t="shared" si="112"/>
        <v>0</v>
      </c>
      <c r="AU107" s="402">
        <f t="shared" si="112"/>
        <v>0</v>
      </c>
      <c r="AV107" s="402">
        <f t="shared" si="112"/>
        <v>36546341.910000004</v>
      </c>
      <c r="AW107" s="402">
        <f t="shared" si="112"/>
        <v>0</v>
      </c>
      <c r="AX107" s="402">
        <f>SUM(AX49,AX79,AX90)</f>
        <v>4701150.549999999</v>
      </c>
      <c r="AY107" s="402">
        <f t="shared" si="112"/>
        <v>15907.09</v>
      </c>
      <c r="AZ107" s="402">
        <f t="shared" si="112"/>
        <v>15907.09</v>
      </c>
      <c r="BA107" s="402">
        <f t="shared" si="112"/>
        <v>0</v>
      </c>
      <c r="BB107" s="402">
        <f t="shared" si="112"/>
        <v>41166732.46</v>
      </c>
      <c r="BC107" s="402">
        <f>SUM(BC49,BC79,BC90)</f>
        <v>0</v>
      </c>
      <c r="BD107" s="402">
        <f>SUM(BD49,BD79,BD90)</f>
        <v>1127222.69</v>
      </c>
      <c r="BE107" s="402">
        <f t="shared" si="112"/>
        <v>0</v>
      </c>
      <c r="BF107" s="402">
        <f t="shared" si="112"/>
        <v>0</v>
      </c>
      <c r="BG107" s="402">
        <f t="shared" si="112"/>
        <v>0</v>
      </c>
      <c r="BH107" s="402">
        <f>SUM(BH49,BH79,BH90)</f>
        <v>42293955.15</v>
      </c>
      <c r="BI107" s="402">
        <f t="shared" si="112"/>
        <v>0</v>
      </c>
      <c r="BJ107" s="402">
        <f>SUM(BJ49,BJ79,BJ90)</f>
        <v>2139410.7299999995</v>
      </c>
      <c r="BK107" s="402">
        <f t="shared" si="112"/>
        <v>0</v>
      </c>
      <c r="BL107" s="402">
        <f t="shared" si="112"/>
        <v>0</v>
      </c>
      <c r="BM107" s="402">
        <f>SUM(BM49,BM79,BM90)</f>
        <v>0</v>
      </c>
      <c r="BN107" s="402">
        <f>SUM(BN49,BN79,BN90)</f>
        <v>44433365.879999995</v>
      </c>
      <c r="BO107" s="402">
        <f t="shared" si="112"/>
        <v>0</v>
      </c>
      <c r="BP107" s="402">
        <f t="shared" si="112"/>
        <v>833530.21</v>
      </c>
      <c r="BQ107" s="402">
        <f t="shared" si="112"/>
        <v>0</v>
      </c>
      <c r="BR107" s="402">
        <f>SUM(BR49,BR79,BR90)</f>
        <v>0</v>
      </c>
      <c r="BS107" s="402">
        <f>SUM(BS49,BS79,BS90)</f>
        <v>0</v>
      </c>
      <c r="BT107" s="402">
        <f>SUM(BT49,BT79,BT90)</f>
        <v>45266896.089999996</v>
      </c>
      <c r="BU107" s="402">
        <f>SUM(BU49,BU79,BU90)</f>
        <v>46590</v>
      </c>
      <c r="BV107" s="402">
        <f aca="true" t="shared" si="113" ref="BV107:CB107">SUM(BV49,BV79,BV90)</f>
        <v>1463439.14</v>
      </c>
      <c r="BW107" s="402">
        <f t="shared" si="113"/>
        <v>900</v>
      </c>
      <c r="BX107" s="402">
        <f t="shared" si="113"/>
        <v>28423.25</v>
      </c>
      <c r="BY107" s="402">
        <f t="shared" si="113"/>
        <v>0</v>
      </c>
      <c r="BZ107" s="402">
        <f t="shared" si="113"/>
        <v>46711268.48</v>
      </c>
      <c r="CA107" s="402">
        <f t="shared" si="113"/>
        <v>44338550.31</v>
      </c>
      <c r="CB107" s="402">
        <f t="shared" si="113"/>
        <v>0</v>
      </c>
      <c r="CC107" s="402">
        <f>SUM(CC49,CC79,CC90)</f>
        <v>0</v>
      </c>
      <c r="CD107" s="402">
        <f>SUM(CD49,CD79,CD90)</f>
        <v>2372718.17</v>
      </c>
      <c r="CE107" s="406">
        <f>2134680.73-BJ107</f>
        <v>-4729.999999999534</v>
      </c>
      <c r="CF107" s="406"/>
    </row>
    <row r="108" spans="1:82" ht="18.75">
      <c r="A108" s="689" t="s">
        <v>363</v>
      </c>
      <c r="B108" s="690"/>
      <c r="C108" s="690"/>
      <c r="D108" s="69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524"/>
      <c r="AF108" s="524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</row>
    <row r="109" spans="1:84" s="405" customFormat="1" ht="15.75">
      <c r="A109" s="408" t="s">
        <v>181</v>
      </c>
      <c r="B109" s="409"/>
      <c r="C109" s="409"/>
      <c r="D109" s="409"/>
      <c r="E109" s="402">
        <f>SUM(E110,E119:E133)</f>
        <v>0</v>
      </c>
      <c r="F109" s="402">
        <f aca="true" t="shared" si="114" ref="F109:BQ109">SUM(F110,F119:F133)</f>
        <v>0</v>
      </c>
      <c r="G109" s="402">
        <f t="shared" si="114"/>
        <v>863914.4099999999</v>
      </c>
      <c r="H109" s="402">
        <f>SUM(H110,H119:H133)</f>
        <v>0</v>
      </c>
      <c r="I109" s="402">
        <f t="shared" si="114"/>
        <v>0</v>
      </c>
      <c r="J109" s="402">
        <f t="shared" si="114"/>
        <v>0</v>
      </c>
      <c r="K109" s="402">
        <f t="shared" si="114"/>
        <v>863914.4099999999</v>
      </c>
      <c r="L109" s="402">
        <f t="shared" si="114"/>
        <v>0</v>
      </c>
      <c r="M109" s="402">
        <f>SUM(M110,M119:M133)</f>
        <v>2435095.99</v>
      </c>
      <c r="N109" s="402">
        <f t="shared" si="114"/>
        <v>310</v>
      </c>
      <c r="O109" s="402">
        <f t="shared" si="114"/>
        <v>141350</v>
      </c>
      <c r="P109" s="402">
        <f t="shared" si="114"/>
        <v>0</v>
      </c>
      <c r="Q109" s="402">
        <f>SUM(Q110,Q119:Q133)</f>
        <v>3440050.4</v>
      </c>
      <c r="R109" s="402">
        <f t="shared" si="114"/>
        <v>0</v>
      </c>
      <c r="S109" s="402">
        <f>SUM(S110,S119:S133)</f>
        <v>1673836.95</v>
      </c>
      <c r="T109" s="402">
        <f t="shared" si="114"/>
        <v>0</v>
      </c>
      <c r="U109" s="402">
        <f t="shared" si="114"/>
        <v>39380</v>
      </c>
      <c r="V109" s="402">
        <f t="shared" si="114"/>
        <v>0</v>
      </c>
      <c r="W109" s="402">
        <f>SUM(W110,W119:W133)</f>
        <v>5153267.35</v>
      </c>
      <c r="X109" s="402">
        <f t="shared" si="114"/>
        <v>0</v>
      </c>
      <c r="Y109" s="402">
        <f t="shared" si="114"/>
        <v>2612919.89</v>
      </c>
      <c r="Z109" s="402">
        <f t="shared" si="114"/>
        <v>0</v>
      </c>
      <c r="AA109" s="402">
        <f t="shared" si="114"/>
        <v>13960</v>
      </c>
      <c r="AB109" s="402">
        <f t="shared" si="114"/>
        <v>0</v>
      </c>
      <c r="AC109" s="402">
        <f t="shared" si="114"/>
        <v>7780147.24</v>
      </c>
      <c r="AD109" s="402">
        <f t="shared" si="114"/>
        <v>0</v>
      </c>
      <c r="AE109" s="402">
        <f>SUM(AE110,AE119:AE133)</f>
        <v>1363230.83</v>
      </c>
      <c r="AF109" s="402">
        <f t="shared" si="114"/>
        <v>149.33</v>
      </c>
      <c r="AG109" s="402">
        <f t="shared" si="114"/>
        <v>0</v>
      </c>
      <c r="AH109" s="402">
        <f t="shared" si="114"/>
        <v>0</v>
      </c>
      <c r="AI109" s="402">
        <f t="shared" si="114"/>
        <v>9143228.74</v>
      </c>
      <c r="AJ109" s="402">
        <f t="shared" si="114"/>
        <v>0</v>
      </c>
      <c r="AK109" s="402">
        <f t="shared" si="114"/>
        <v>1536580.81</v>
      </c>
      <c r="AL109" s="402">
        <f t="shared" si="114"/>
        <v>0</v>
      </c>
      <c r="AM109" s="403">
        <f t="shared" si="114"/>
        <v>0</v>
      </c>
      <c r="AN109" s="403">
        <f t="shared" si="114"/>
        <v>0</v>
      </c>
      <c r="AO109" s="402">
        <f t="shared" si="114"/>
        <v>10679809.55</v>
      </c>
      <c r="AP109" s="402">
        <f t="shared" si="114"/>
        <v>0</v>
      </c>
      <c r="AQ109" s="402">
        <f>SUM(AQ110,AQ119:AQ133)</f>
        <v>0</v>
      </c>
      <c r="AR109" s="402">
        <f t="shared" si="114"/>
        <v>0</v>
      </c>
      <c r="AS109" s="402">
        <f t="shared" si="114"/>
        <v>0</v>
      </c>
      <c r="AT109" s="402">
        <f t="shared" si="114"/>
        <v>0</v>
      </c>
      <c r="AU109" s="402">
        <f>SUM(AU110,AU119:AU133)</f>
        <v>10679809.55</v>
      </c>
      <c r="AV109" s="402">
        <f t="shared" si="114"/>
        <v>0</v>
      </c>
      <c r="AW109" s="402">
        <f t="shared" si="114"/>
        <v>2333849.74</v>
      </c>
      <c r="AX109" s="402">
        <f>SUM(AX110,AX119:AX133)</f>
        <v>1977</v>
      </c>
      <c r="AY109" s="402">
        <f>SUM(AY110,AY119:AY133)</f>
        <v>29132</v>
      </c>
      <c r="AZ109" s="402">
        <f t="shared" si="114"/>
        <v>0</v>
      </c>
      <c r="BA109" s="402">
        <f t="shared" si="114"/>
        <v>13040814.29</v>
      </c>
      <c r="BB109" s="402">
        <f t="shared" si="114"/>
        <v>0</v>
      </c>
      <c r="BC109" s="402">
        <f t="shared" si="114"/>
        <v>1258268.81</v>
      </c>
      <c r="BD109" s="402">
        <f t="shared" si="114"/>
        <v>41100</v>
      </c>
      <c r="BE109" s="402">
        <f t="shared" si="114"/>
        <v>6400</v>
      </c>
      <c r="BF109" s="402">
        <f t="shared" si="114"/>
        <v>6400</v>
      </c>
      <c r="BG109" s="402">
        <f>SUM(BG110,BG119:BG133)</f>
        <v>14257983.099999998</v>
      </c>
      <c r="BH109" s="402">
        <f>SUM(BH110,BH119:BH133)</f>
        <v>0</v>
      </c>
      <c r="BI109" s="402">
        <f>SUM(BI110,BI119:BI133)</f>
        <v>1207368.75</v>
      </c>
      <c r="BJ109" s="402">
        <f t="shared" si="114"/>
        <v>0</v>
      </c>
      <c r="BK109" s="402">
        <f t="shared" si="114"/>
        <v>3680</v>
      </c>
      <c r="BL109" s="402">
        <f t="shared" si="114"/>
        <v>0</v>
      </c>
      <c r="BM109" s="402">
        <f t="shared" si="114"/>
        <v>15469031.850000001</v>
      </c>
      <c r="BN109" s="402">
        <f t="shared" si="114"/>
        <v>0</v>
      </c>
      <c r="BO109" s="402">
        <f t="shared" si="114"/>
        <v>1215232.1</v>
      </c>
      <c r="BP109" s="402">
        <f t="shared" si="114"/>
        <v>0</v>
      </c>
      <c r="BQ109" s="402">
        <f t="shared" si="114"/>
        <v>106597.5</v>
      </c>
      <c r="BR109" s="402">
        <f aca="true" t="shared" si="115" ref="BR109:CD109">SUM(BR110,BR119:BR133)</f>
        <v>0</v>
      </c>
      <c r="BS109" s="402">
        <f t="shared" si="115"/>
        <v>16790861.45</v>
      </c>
      <c r="BT109" s="402">
        <f t="shared" si="115"/>
        <v>0</v>
      </c>
      <c r="BU109" s="402">
        <f t="shared" si="115"/>
        <v>3294858.3</v>
      </c>
      <c r="BV109" s="402">
        <f t="shared" si="115"/>
        <v>750</v>
      </c>
      <c r="BW109" s="402">
        <f t="shared" si="115"/>
        <v>5241750</v>
      </c>
      <c r="BX109" s="402">
        <f t="shared" si="115"/>
        <v>415</v>
      </c>
      <c r="BY109" s="402">
        <f>SUM(BY110,BY119:BY133)</f>
        <v>25326304.75</v>
      </c>
      <c r="BZ109" s="402">
        <f t="shared" si="115"/>
        <v>0</v>
      </c>
      <c r="CA109" s="402">
        <f>SUM(CA110,CA119:CA133)</f>
        <v>0</v>
      </c>
      <c r="CB109" s="402">
        <f t="shared" si="115"/>
        <v>25502769.2</v>
      </c>
      <c r="CC109" s="402">
        <f t="shared" si="115"/>
        <v>-176464.44999999972</v>
      </c>
      <c r="CD109" s="402">
        <f t="shared" si="115"/>
        <v>0</v>
      </c>
      <c r="CE109" s="404" t="s">
        <v>468</v>
      </c>
      <c r="CF109" s="404"/>
    </row>
    <row r="110" spans="1:84" s="405" customFormat="1" ht="15.75">
      <c r="A110" s="400" t="s">
        <v>11</v>
      </c>
      <c r="B110" s="401"/>
      <c r="C110" s="401"/>
      <c r="D110" s="401"/>
      <c r="E110" s="402">
        <f>SUM(E111:E118)</f>
        <v>0</v>
      </c>
      <c r="F110" s="402">
        <f aca="true" t="shared" si="116" ref="F110:BQ110">SUM(F111:F118)</f>
        <v>0</v>
      </c>
      <c r="G110" s="402">
        <f t="shared" si="116"/>
        <v>7500</v>
      </c>
      <c r="H110" s="402">
        <f>SUM(H111:H118)</f>
        <v>0</v>
      </c>
      <c r="I110" s="402">
        <f>SUM(I111:I118)</f>
        <v>0</v>
      </c>
      <c r="J110" s="402">
        <f>SUM(J111:J118)</f>
        <v>0</v>
      </c>
      <c r="K110" s="402">
        <f>SUM(K111:K118)</f>
        <v>7500</v>
      </c>
      <c r="L110" s="402">
        <f t="shared" si="116"/>
        <v>0</v>
      </c>
      <c r="M110" s="402">
        <f>SUM(M111:M118)</f>
        <v>193497</v>
      </c>
      <c r="N110" s="402">
        <f t="shared" si="116"/>
        <v>0</v>
      </c>
      <c r="O110" s="402">
        <f t="shared" si="116"/>
        <v>0</v>
      </c>
      <c r="P110" s="402">
        <f t="shared" si="116"/>
        <v>0</v>
      </c>
      <c r="Q110" s="402">
        <f>SUM(Q111:Q118)</f>
        <v>200997</v>
      </c>
      <c r="R110" s="402">
        <f t="shared" si="116"/>
        <v>0</v>
      </c>
      <c r="S110" s="402">
        <f>SUM(S111:S118)</f>
        <v>358990.61</v>
      </c>
      <c r="T110" s="402">
        <f t="shared" si="116"/>
        <v>0</v>
      </c>
      <c r="U110" s="402">
        <f t="shared" si="116"/>
        <v>0</v>
      </c>
      <c r="V110" s="402">
        <f t="shared" si="116"/>
        <v>0</v>
      </c>
      <c r="W110" s="402">
        <f>SUM(W111:W118)</f>
        <v>559987.61</v>
      </c>
      <c r="X110" s="402">
        <f t="shared" si="116"/>
        <v>0</v>
      </c>
      <c r="Y110" s="402">
        <f>SUM(Y111:Y118)</f>
        <v>21732</v>
      </c>
      <c r="Z110" s="402">
        <f>SUM(Z111:Z118)</f>
        <v>0</v>
      </c>
      <c r="AA110" s="402">
        <f>SUM(AA111:AA118)</f>
        <v>0</v>
      </c>
      <c r="AB110" s="402">
        <f>SUM(AB111:AB118)</f>
        <v>0</v>
      </c>
      <c r="AC110" s="402">
        <f>SUM(AC111:AC118)</f>
        <v>581719.61</v>
      </c>
      <c r="AD110" s="402">
        <f t="shared" si="116"/>
        <v>0</v>
      </c>
      <c r="AE110" s="402">
        <f>SUM(AE111:AE118)</f>
        <v>14995</v>
      </c>
      <c r="AF110" s="531">
        <f t="shared" si="116"/>
        <v>0</v>
      </c>
      <c r="AG110" s="402">
        <f t="shared" si="116"/>
        <v>0</v>
      </c>
      <c r="AH110" s="402">
        <f t="shared" si="116"/>
        <v>0</v>
      </c>
      <c r="AI110" s="402">
        <f t="shared" si="116"/>
        <v>596714.61</v>
      </c>
      <c r="AJ110" s="402">
        <f t="shared" si="116"/>
        <v>0</v>
      </c>
      <c r="AK110" s="402">
        <f>SUM(AK111:AK118)</f>
        <v>14449</v>
      </c>
      <c r="AL110" s="402">
        <f>SUM(AL111:AL118)</f>
        <v>0</v>
      </c>
      <c r="AM110" s="403">
        <f>SUM(AM111:AM118)</f>
        <v>0</v>
      </c>
      <c r="AN110" s="403">
        <f>SUM(AN111:AN118)</f>
        <v>0</v>
      </c>
      <c r="AO110" s="402">
        <f>SUM(AO111:AO118)</f>
        <v>611163.61</v>
      </c>
      <c r="AP110" s="402">
        <f t="shared" si="116"/>
        <v>0</v>
      </c>
      <c r="AQ110" s="402">
        <f>SUM(AQ111:AQ118)</f>
        <v>0</v>
      </c>
      <c r="AR110" s="402">
        <f t="shared" si="116"/>
        <v>0</v>
      </c>
      <c r="AS110" s="402">
        <f t="shared" si="116"/>
        <v>0</v>
      </c>
      <c r="AT110" s="402">
        <f t="shared" si="116"/>
        <v>0</v>
      </c>
      <c r="AU110" s="402">
        <f>SUM(AU111:AU118)</f>
        <v>611163.61</v>
      </c>
      <c r="AV110" s="402">
        <f t="shared" si="116"/>
        <v>0</v>
      </c>
      <c r="AW110" s="402">
        <f>SUM(AW111:AW118)</f>
        <v>13920</v>
      </c>
      <c r="AX110" s="402">
        <f>SUM(AX111:AX118)</f>
        <v>0</v>
      </c>
      <c r="AY110" s="402">
        <f>SUM(AY111:AY118)</f>
        <v>0</v>
      </c>
      <c r="AZ110" s="402">
        <f t="shared" si="116"/>
        <v>0</v>
      </c>
      <c r="BA110" s="402">
        <f t="shared" si="116"/>
        <v>625083.61</v>
      </c>
      <c r="BB110" s="402">
        <f t="shared" si="116"/>
        <v>0</v>
      </c>
      <c r="BC110" s="402">
        <f t="shared" si="116"/>
        <v>80211</v>
      </c>
      <c r="BD110" s="402">
        <f t="shared" si="116"/>
        <v>0</v>
      </c>
      <c r="BE110" s="402">
        <f t="shared" si="116"/>
        <v>0</v>
      </c>
      <c r="BF110" s="402">
        <f t="shared" si="116"/>
        <v>0</v>
      </c>
      <c r="BG110" s="402">
        <f>SUM(BG111:BG118)</f>
        <v>705294.61</v>
      </c>
      <c r="BH110" s="402">
        <f t="shared" si="116"/>
        <v>0</v>
      </c>
      <c r="BI110" s="402">
        <f t="shared" si="116"/>
        <v>30915</v>
      </c>
      <c r="BJ110" s="402">
        <f t="shared" si="116"/>
        <v>0</v>
      </c>
      <c r="BK110" s="402">
        <f t="shared" si="116"/>
        <v>0</v>
      </c>
      <c r="BL110" s="402">
        <f t="shared" si="116"/>
        <v>0</v>
      </c>
      <c r="BM110" s="402">
        <f>SUM(BM111:BM118)</f>
        <v>736209.61</v>
      </c>
      <c r="BN110" s="402">
        <f>SUM(BN111:BN118)</f>
        <v>0</v>
      </c>
      <c r="BO110" s="402">
        <f t="shared" si="116"/>
        <v>15847</v>
      </c>
      <c r="BP110" s="402">
        <f t="shared" si="116"/>
        <v>0</v>
      </c>
      <c r="BQ110" s="402">
        <f t="shared" si="116"/>
        <v>0</v>
      </c>
      <c r="BR110" s="402">
        <f aca="true" t="shared" si="117" ref="BR110:CD110">SUM(BR111:BR118)</f>
        <v>0</v>
      </c>
      <c r="BS110" s="402">
        <f t="shared" si="117"/>
        <v>752056.61</v>
      </c>
      <c r="BT110" s="402">
        <f t="shared" si="117"/>
        <v>0</v>
      </c>
      <c r="BU110" s="402">
        <f t="shared" si="117"/>
        <v>303738</v>
      </c>
      <c r="BV110" s="402">
        <f t="shared" si="117"/>
        <v>0</v>
      </c>
      <c r="BW110" s="402">
        <f t="shared" si="117"/>
        <v>0</v>
      </c>
      <c r="BX110" s="402">
        <f t="shared" si="117"/>
        <v>0</v>
      </c>
      <c r="BY110" s="402">
        <f>SUM(BY111:BY118)</f>
        <v>1055794.6099999999</v>
      </c>
      <c r="BZ110" s="402">
        <f t="shared" si="117"/>
        <v>0</v>
      </c>
      <c r="CA110" s="402">
        <f>SUM(CA111:CA118)</f>
        <v>0</v>
      </c>
      <c r="CB110" s="402">
        <f>SUM(CB111:CB118)</f>
        <v>1052868</v>
      </c>
      <c r="CC110" s="402">
        <f>SUM(CC111:CC118)</f>
        <v>2926.609999999986</v>
      </c>
      <c r="CD110" s="402">
        <f t="shared" si="117"/>
        <v>0</v>
      </c>
      <c r="CE110" s="404">
        <f>2850+1600+12400+38930+6390+22830+4455+8740+6260+18370+3370+16950+10050+148081.61+8859.68+3500+63340+38660+450+218720+11090+920+5450+1298+1350</f>
        <v>654914.29</v>
      </c>
      <c r="CF110" s="404">
        <f>8000+1552+4000+3900+5000+43434.45+21392.35+554.37+8560+7000+25000+1500+6000+72000+1800+3779+2174+7200+95000+23579+6400+10775+7000+328+11520+1116+75250+4000+1850+45885.81+20701.49+8560+637.99+1505+8000+7500</f>
        <v>552454.46</v>
      </c>
    </row>
    <row r="111" spans="1:84" ht="15.75">
      <c r="A111" s="40"/>
      <c r="B111" s="41" t="s">
        <v>132</v>
      </c>
      <c r="C111" s="41"/>
      <c r="D111" s="41"/>
      <c r="E111" s="42"/>
      <c r="F111" s="42"/>
      <c r="G111" s="42"/>
      <c r="H111" s="42"/>
      <c r="I111" s="42"/>
      <c r="J111" s="42"/>
      <c r="K111" s="45">
        <f aca="true" t="shared" si="118" ref="K111:K118">SUM(E111+G111-H111+I111-J111)</f>
        <v>0</v>
      </c>
      <c r="L111" s="42"/>
      <c r="M111" s="42">
        <f>1512+14160</f>
        <v>15672</v>
      </c>
      <c r="N111" s="42"/>
      <c r="O111" s="42"/>
      <c r="P111" s="42"/>
      <c r="Q111" s="45">
        <f aca="true" t="shared" si="119" ref="Q111:Q118">SUM(K111+M111-N111+O111-P111)</f>
        <v>15672</v>
      </c>
      <c r="R111" s="42"/>
      <c r="S111" s="42">
        <f>1512+13440</f>
        <v>14952</v>
      </c>
      <c r="T111" s="42"/>
      <c r="U111" s="42"/>
      <c r="V111" s="42"/>
      <c r="W111" s="45">
        <f aca="true" t="shared" si="120" ref="W111:W118">SUM(Q111+S111-T111+U111-V111)</f>
        <v>30624</v>
      </c>
      <c r="X111" s="42"/>
      <c r="Y111" s="42">
        <f>12720+1512</f>
        <v>14232</v>
      </c>
      <c r="Z111" s="42"/>
      <c r="AA111" s="42"/>
      <c r="AB111" s="42"/>
      <c r="AC111" s="45">
        <f aca="true" t="shared" si="121" ref="AC111:AC118">SUM(W111+Y111-Z111+AA111-AB111)</f>
        <v>44856</v>
      </c>
      <c r="AD111" s="42"/>
      <c r="AE111" s="42">
        <f>45+7950</f>
        <v>7995</v>
      </c>
      <c r="AF111" s="526"/>
      <c r="AG111" s="42"/>
      <c r="AH111" s="42"/>
      <c r="AI111" s="45">
        <f aca="true" t="shared" si="122" ref="AI111:AI118">SUM(AC111+AE111-AF111+AG111-AH111)</f>
        <v>52851</v>
      </c>
      <c r="AJ111" s="42"/>
      <c r="AK111" s="42">
        <f>7404+45</f>
        <v>7449</v>
      </c>
      <c r="AL111" s="42"/>
      <c r="AM111" s="42"/>
      <c r="AN111" s="42"/>
      <c r="AO111" s="45">
        <f aca="true" t="shared" si="123" ref="AO111:AO118">SUM(AI111+AK111-AL111+AM111-AN111)</f>
        <v>60300</v>
      </c>
      <c r="AP111" s="42"/>
      <c r="AQ111" s="42"/>
      <c r="AR111" s="42"/>
      <c r="AS111" s="42"/>
      <c r="AT111" s="42"/>
      <c r="AU111" s="45">
        <f aca="true" t="shared" si="124" ref="AU111:AU118">SUM(AO111+AQ111-AR111+AS111-AT111)</f>
        <v>60300</v>
      </c>
      <c r="AV111" s="42"/>
      <c r="AW111" s="42">
        <f>1476+11520</f>
        <v>12996</v>
      </c>
      <c r="AX111" s="42"/>
      <c r="AY111" s="42"/>
      <c r="AZ111" s="42"/>
      <c r="BA111" s="45">
        <f aca="true" t="shared" si="125" ref="BA111:BA118">SUM(AU111+AW111-AX111+AY111-AZ111)</f>
        <v>73296</v>
      </c>
      <c r="BB111" s="42"/>
      <c r="BC111" s="42">
        <v>12636</v>
      </c>
      <c r="BD111" s="42"/>
      <c r="BE111" s="42"/>
      <c r="BF111" s="42"/>
      <c r="BG111" s="45">
        <f aca="true" t="shared" si="126" ref="BG111:BG116">SUM(BA111+BC111-BD111+BE111-BF111)</f>
        <v>85932</v>
      </c>
      <c r="BH111" s="42"/>
      <c r="BI111" s="42">
        <f>11520+1116</f>
        <v>12636</v>
      </c>
      <c r="BJ111" s="42"/>
      <c r="BK111" s="42"/>
      <c r="BL111" s="42"/>
      <c r="BM111" s="45">
        <f aca="true" t="shared" si="127" ref="BM111:BM118">SUM(BG111+BI111-BJ111+BK111-BL111)</f>
        <v>98568</v>
      </c>
      <c r="BN111" s="42"/>
      <c r="BO111" s="42">
        <f>11520+1476</f>
        <v>12996</v>
      </c>
      <c r="BP111" s="42"/>
      <c r="BQ111" s="42"/>
      <c r="BR111" s="42"/>
      <c r="BS111" s="45">
        <f aca="true" t="shared" si="128" ref="BS111:BS118">SUM(BM111+BO111-BP111+BQ111-BR111)</f>
        <v>111564</v>
      </c>
      <c r="BT111" s="42"/>
      <c r="BU111" s="42">
        <v>29832</v>
      </c>
      <c r="BV111" s="42"/>
      <c r="BW111" s="42"/>
      <c r="BX111" s="42"/>
      <c r="BY111" s="45">
        <f aca="true" t="shared" si="129" ref="BY111:BY118">SUM(BS111+BU111-BV111+BW111-BX111)</f>
        <v>141396</v>
      </c>
      <c r="BZ111" s="42"/>
      <c r="CA111" s="42"/>
      <c r="CB111" s="42">
        <v>166184</v>
      </c>
      <c r="CC111" s="45">
        <f>+BY111+CA111-CB111</f>
        <v>-24788</v>
      </c>
      <c r="CD111" s="42"/>
      <c r="CF111" s="7">
        <f>SUM(CE110:CF110)</f>
        <v>1207368.75</v>
      </c>
    </row>
    <row r="112" spans="1:84" ht="15.75">
      <c r="A112" s="43"/>
      <c r="B112" s="44" t="s">
        <v>133</v>
      </c>
      <c r="C112" s="44"/>
      <c r="D112" s="44"/>
      <c r="E112" s="45"/>
      <c r="F112" s="45"/>
      <c r="G112" s="45"/>
      <c r="H112" s="45"/>
      <c r="I112" s="45"/>
      <c r="J112" s="45"/>
      <c r="K112" s="45">
        <f t="shared" si="118"/>
        <v>0</v>
      </c>
      <c r="L112" s="45"/>
      <c r="M112" s="45"/>
      <c r="N112" s="45"/>
      <c r="O112" s="45"/>
      <c r="P112" s="45"/>
      <c r="Q112" s="45">
        <f t="shared" si="119"/>
        <v>0</v>
      </c>
      <c r="R112" s="45"/>
      <c r="S112" s="45">
        <v>0</v>
      </c>
      <c r="T112" s="45"/>
      <c r="U112" s="45"/>
      <c r="V112" s="45"/>
      <c r="W112" s="45">
        <f t="shared" si="120"/>
        <v>0</v>
      </c>
      <c r="X112" s="45"/>
      <c r="Y112" s="45"/>
      <c r="Z112" s="45"/>
      <c r="AA112" s="45"/>
      <c r="AB112" s="45"/>
      <c r="AC112" s="45">
        <f t="shared" si="121"/>
        <v>0</v>
      </c>
      <c r="AD112" s="45"/>
      <c r="AE112" s="45"/>
      <c r="AF112" s="527"/>
      <c r="AG112" s="45"/>
      <c r="AH112" s="45"/>
      <c r="AI112" s="45">
        <f t="shared" si="122"/>
        <v>0</v>
      </c>
      <c r="AJ112" s="45"/>
      <c r="AK112" s="45"/>
      <c r="AL112" s="45"/>
      <c r="AM112" s="45"/>
      <c r="AN112" s="45"/>
      <c r="AO112" s="45">
        <f t="shared" si="123"/>
        <v>0</v>
      </c>
      <c r="AP112" s="45"/>
      <c r="AQ112" s="45"/>
      <c r="AR112" s="45"/>
      <c r="AS112" s="45"/>
      <c r="AT112" s="45"/>
      <c r="AU112" s="45">
        <f t="shared" si="124"/>
        <v>0</v>
      </c>
      <c r="AV112" s="45"/>
      <c r="AW112" s="45"/>
      <c r="AX112" s="45"/>
      <c r="AY112" s="45"/>
      <c r="AZ112" s="45"/>
      <c r="BA112" s="45">
        <f t="shared" si="125"/>
        <v>0</v>
      </c>
      <c r="BB112" s="45"/>
      <c r="BC112" s="45"/>
      <c r="BD112" s="45"/>
      <c r="BE112" s="45"/>
      <c r="BF112" s="45"/>
      <c r="BG112" s="45">
        <f t="shared" si="126"/>
        <v>0</v>
      </c>
      <c r="BH112" s="45"/>
      <c r="BI112" s="45"/>
      <c r="BJ112" s="45"/>
      <c r="BK112" s="45"/>
      <c r="BL112" s="45"/>
      <c r="BM112" s="45">
        <f t="shared" si="127"/>
        <v>0</v>
      </c>
      <c r="BN112" s="45"/>
      <c r="BO112" s="45"/>
      <c r="BP112" s="45"/>
      <c r="BQ112" s="45"/>
      <c r="BR112" s="45"/>
      <c r="BS112" s="45">
        <f t="shared" si="128"/>
        <v>0</v>
      </c>
      <c r="BT112" s="45"/>
      <c r="BU112" s="45">
        <v>0</v>
      </c>
      <c r="BV112" s="45"/>
      <c r="BW112" s="45"/>
      <c r="BX112" s="45"/>
      <c r="BY112" s="45">
        <f t="shared" si="129"/>
        <v>0</v>
      </c>
      <c r="BZ112" s="45"/>
      <c r="CA112" s="45"/>
      <c r="CB112" s="45">
        <v>0</v>
      </c>
      <c r="CC112" s="45">
        <f aca="true" t="shared" si="130" ref="CC112:CC117">+BY112+CA112-CB112</f>
        <v>0</v>
      </c>
      <c r="CD112" s="45"/>
      <c r="CF112" s="7">
        <f>SUM(CE111:CF111)</f>
        <v>1207368.75</v>
      </c>
    </row>
    <row r="113" spans="1:84" ht="15.75">
      <c r="A113" s="43"/>
      <c r="B113" s="44" t="s">
        <v>134</v>
      </c>
      <c r="C113" s="44"/>
      <c r="D113" s="44"/>
      <c r="E113" s="45"/>
      <c r="F113" s="45"/>
      <c r="G113" s="45">
        <v>7500</v>
      </c>
      <c r="H113" s="45"/>
      <c r="I113" s="45"/>
      <c r="J113" s="45"/>
      <c r="K113" s="45">
        <f t="shared" si="118"/>
        <v>7500</v>
      </c>
      <c r="L113" s="45"/>
      <c r="M113" s="45">
        <v>7500</v>
      </c>
      <c r="N113" s="45"/>
      <c r="O113" s="45"/>
      <c r="P113" s="45"/>
      <c r="Q113" s="45">
        <f t="shared" si="119"/>
        <v>15000</v>
      </c>
      <c r="R113" s="45"/>
      <c r="S113" s="45">
        <v>7500</v>
      </c>
      <c r="T113" s="45"/>
      <c r="U113" s="45"/>
      <c r="V113" s="45"/>
      <c r="W113" s="45">
        <f>SUM(Q113+S113-T113+U113-V113)</f>
        <v>22500</v>
      </c>
      <c r="X113" s="45"/>
      <c r="Y113" s="45">
        <v>7500</v>
      </c>
      <c r="Z113" s="45"/>
      <c r="AA113" s="45"/>
      <c r="AB113" s="45"/>
      <c r="AC113" s="45">
        <f t="shared" si="121"/>
        <v>30000</v>
      </c>
      <c r="AD113" s="45"/>
      <c r="AE113" s="45">
        <v>7000</v>
      </c>
      <c r="AF113" s="527"/>
      <c r="AG113" s="45"/>
      <c r="AH113" s="45"/>
      <c r="AI113" s="45">
        <f t="shared" si="122"/>
        <v>37000</v>
      </c>
      <c r="AJ113" s="45"/>
      <c r="AK113" s="45">
        <v>7000</v>
      </c>
      <c r="AL113" s="45"/>
      <c r="AM113" s="45"/>
      <c r="AN113" s="45"/>
      <c r="AO113" s="45">
        <f t="shared" si="123"/>
        <v>44000</v>
      </c>
      <c r="AP113" s="45"/>
      <c r="AQ113" s="45"/>
      <c r="AR113" s="45"/>
      <c r="AS113" s="45"/>
      <c r="AT113" s="45"/>
      <c r="AU113" s="45">
        <f t="shared" si="124"/>
        <v>44000</v>
      </c>
      <c r="AV113" s="45"/>
      <c r="AW113" s="45"/>
      <c r="AX113" s="45"/>
      <c r="AY113" s="45"/>
      <c r="AZ113" s="45"/>
      <c r="BA113" s="45">
        <f t="shared" si="125"/>
        <v>44000</v>
      </c>
      <c r="BB113" s="45"/>
      <c r="BC113" s="45">
        <v>7000</v>
      </c>
      <c r="BD113" s="45"/>
      <c r="BE113" s="45"/>
      <c r="BF113" s="45"/>
      <c r="BG113" s="45">
        <f t="shared" si="126"/>
        <v>51000</v>
      </c>
      <c r="BH113" s="45"/>
      <c r="BI113" s="45">
        <f>7000+7500</f>
        <v>14500</v>
      </c>
      <c r="BJ113" s="45"/>
      <c r="BK113" s="45"/>
      <c r="BL113" s="45"/>
      <c r="BM113" s="45">
        <f t="shared" si="127"/>
        <v>65500</v>
      </c>
      <c r="BN113" s="45"/>
      <c r="BO113" s="45"/>
      <c r="BP113" s="45"/>
      <c r="BQ113" s="45"/>
      <c r="BR113" s="45"/>
      <c r="BS113" s="45">
        <f t="shared" si="128"/>
        <v>65500</v>
      </c>
      <c r="BT113" s="45"/>
      <c r="BU113" s="45">
        <v>7500</v>
      </c>
      <c r="BV113" s="45"/>
      <c r="BW113" s="45"/>
      <c r="BX113" s="45"/>
      <c r="BY113" s="45">
        <f t="shared" si="129"/>
        <v>73000</v>
      </c>
      <c r="BZ113" s="45"/>
      <c r="CA113" s="45"/>
      <c r="CB113" s="45">
        <v>83000</v>
      </c>
      <c r="CC113" s="45">
        <f t="shared" si="130"/>
        <v>-10000</v>
      </c>
      <c r="CD113" s="45"/>
      <c r="CF113" s="7">
        <f>+BI109-CF112</f>
        <v>0</v>
      </c>
    </row>
    <row r="114" spans="1:83" ht="15.75">
      <c r="A114" s="43"/>
      <c r="B114" s="44" t="s">
        <v>135</v>
      </c>
      <c r="C114" s="44"/>
      <c r="D114" s="44"/>
      <c r="E114" s="45"/>
      <c r="F114" s="45"/>
      <c r="G114" s="45"/>
      <c r="H114" s="45"/>
      <c r="I114" s="45"/>
      <c r="J114" s="45"/>
      <c r="K114" s="45">
        <f t="shared" si="118"/>
        <v>0</v>
      </c>
      <c r="L114" s="45"/>
      <c r="M114" s="45"/>
      <c r="N114" s="45"/>
      <c r="O114" s="45"/>
      <c r="P114" s="45"/>
      <c r="Q114" s="45">
        <f t="shared" si="119"/>
        <v>0</v>
      </c>
      <c r="R114" s="45"/>
      <c r="S114" s="45">
        <v>61865</v>
      </c>
      <c r="T114" s="45"/>
      <c r="U114" s="45"/>
      <c r="V114" s="45"/>
      <c r="W114" s="45">
        <f t="shared" si="120"/>
        <v>61865</v>
      </c>
      <c r="X114" s="45"/>
      <c r="Y114" s="45"/>
      <c r="Z114" s="45"/>
      <c r="AA114" s="45"/>
      <c r="AB114" s="45"/>
      <c r="AC114" s="45">
        <f t="shared" si="121"/>
        <v>61865</v>
      </c>
      <c r="AD114" s="45"/>
      <c r="AE114" s="527"/>
      <c r="AF114" s="527"/>
      <c r="AG114" s="45"/>
      <c r="AH114" s="45"/>
      <c r="AI114" s="45">
        <f>SUM(AC114+AE114-AF114+AG114-AH114)</f>
        <v>61865</v>
      </c>
      <c r="AJ114" s="45"/>
      <c r="AK114" s="45"/>
      <c r="AL114" s="45"/>
      <c r="AM114" s="45"/>
      <c r="AN114" s="45"/>
      <c r="AO114" s="45">
        <f t="shared" si="123"/>
        <v>61865</v>
      </c>
      <c r="AP114" s="45"/>
      <c r="AQ114" s="45"/>
      <c r="AR114" s="45"/>
      <c r="AS114" s="45"/>
      <c r="AT114" s="45"/>
      <c r="AU114" s="45">
        <f t="shared" si="124"/>
        <v>61865</v>
      </c>
      <c r="AV114" s="45"/>
      <c r="AW114" s="45">
        <v>924</v>
      </c>
      <c r="AX114" s="45"/>
      <c r="AY114" s="45"/>
      <c r="AZ114" s="45"/>
      <c r="BA114" s="45">
        <f t="shared" si="125"/>
        <v>62789</v>
      </c>
      <c r="BB114" s="45"/>
      <c r="BC114" s="45">
        <v>60575</v>
      </c>
      <c r="BD114" s="45"/>
      <c r="BE114" s="45"/>
      <c r="BF114" s="45"/>
      <c r="BG114" s="45">
        <f t="shared" si="126"/>
        <v>123364</v>
      </c>
      <c r="BH114" s="45"/>
      <c r="BI114" s="45">
        <v>3779</v>
      </c>
      <c r="BJ114" s="45"/>
      <c r="BK114" s="45"/>
      <c r="BL114" s="45"/>
      <c r="BM114" s="45">
        <f t="shared" si="127"/>
        <v>127143</v>
      </c>
      <c r="BN114" s="45"/>
      <c r="BO114" s="45">
        <v>2851</v>
      </c>
      <c r="BP114" s="45"/>
      <c r="BQ114" s="45"/>
      <c r="BR114" s="45"/>
      <c r="BS114" s="45">
        <f t="shared" si="128"/>
        <v>129994</v>
      </c>
      <c r="BT114" s="45"/>
      <c r="BU114" s="45">
        <v>135156</v>
      </c>
      <c r="BV114" s="45"/>
      <c r="BW114" s="45"/>
      <c r="BX114" s="45"/>
      <c r="BY114" s="45">
        <f t="shared" si="129"/>
        <v>265150</v>
      </c>
      <c r="BZ114" s="45"/>
      <c r="CA114" s="45"/>
      <c r="CB114" s="45">
        <v>278285</v>
      </c>
      <c r="CC114" s="45">
        <f t="shared" si="130"/>
        <v>-13135</v>
      </c>
      <c r="CD114" s="45"/>
      <c r="CE114" s="7">
        <f>116833-AK110</f>
        <v>102384</v>
      </c>
    </row>
    <row r="115" spans="1:82" ht="15.75">
      <c r="A115" s="43"/>
      <c r="B115" s="44" t="s">
        <v>328</v>
      </c>
      <c r="C115" s="44"/>
      <c r="D115" s="44"/>
      <c r="E115" s="45"/>
      <c r="F115" s="45"/>
      <c r="G115" s="45"/>
      <c r="H115" s="45"/>
      <c r="I115" s="45"/>
      <c r="J115" s="45"/>
      <c r="K115" s="45">
        <f t="shared" si="118"/>
        <v>0</v>
      </c>
      <c r="L115" s="45"/>
      <c r="M115" s="45">
        <v>170325</v>
      </c>
      <c r="N115" s="45"/>
      <c r="O115" s="45"/>
      <c r="P115" s="45"/>
      <c r="Q115" s="45">
        <f t="shared" si="119"/>
        <v>170325</v>
      </c>
      <c r="R115" s="45"/>
      <c r="S115" s="45">
        <v>0</v>
      </c>
      <c r="T115" s="45"/>
      <c r="U115" s="45"/>
      <c r="V115" s="45"/>
      <c r="W115" s="45">
        <f t="shared" si="120"/>
        <v>170325</v>
      </c>
      <c r="X115" s="45"/>
      <c r="Y115" s="45"/>
      <c r="Z115" s="45"/>
      <c r="AA115" s="45"/>
      <c r="AB115" s="45"/>
      <c r="AC115" s="45">
        <f t="shared" si="121"/>
        <v>170325</v>
      </c>
      <c r="AD115" s="45"/>
      <c r="AE115" s="527"/>
      <c r="AF115" s="527"/>
      <c r="AG115" s="45"/>
      <c r="AH115" s="45"/>
      <c r="AI115" s="45">
        <f>SUM(AC115+AE115-AF115+AG115-AH115)</f>
        <v>170325</v>
      </c>
      <c r="AJ115" s="45"/>
      <c r="AK115" s="45"/>
      <c r="AL115" s="45"/>
      <c r="AM115" s="45"/>
      <c r="AN115" s="45"/>
      <c r="AO115" s="45">
        <f t="shared" si="123"/>
        <v>170325</v>
      </c>
      <c r="AP115" s="45"/>
      <c r="AQ115" s="45"/>
      <c r="AR115" s="45"/>
      <c r="AS115" s="45"/>
      <c r="AT115" s="45"/>
      <c r="AU115" s="45">
        <f t="shared" si="124"/>
        <v>170325</v>
      </c>
      <c r="AV115" s="45"/>
      <c r="AW115" s="45"/>
      <c r="AX115" s="45"/>
      <c r="AY115" s="45"/>
      <c r="AZ115" s="45"/>
      <c r="BA115" s="45">
        <f t="shared" si="125"/>
        <v>170325</v>
      </c>
      <c r="BB115" s="45"/>
      <c r="BC115" s="45"/>
      <c r="BD115" s="45"/>
      <c r="BE115" s="45"/>
      <c r="BF115" s="45"/>
      <c r="BG115" s="45">
        <f t="shared" si="126"/>
        <v>170325</v>
      </c>
      <c r="BH115" s="45"/>
      <c r="BI115" s="45"/>
      <c r="BJ115" s="45"/>
      <c r="BK115" s="45"/>
      <c r="BL115" s="45"/>
      <c r="BM115" s="45">
        <f t="shared" si="127"/>
        <v>170325</v>
      </c>
      <c r="BN115" s="45"/>
      <c r="BO115" s="45"/>
      <c r="BP115" s="45"/>
      <c r="BQ115" s="45"/>
      <c r="BR115" s="45"/>
      <c r="BS115" s="45">
        <f t="shared" si="128"/>
        <v>170325</v>
      </c>
      <c r="BT115" s="45"/>
      <c r="BU115" s="45">
        <v>131250</v>
      </c>
      <c r="BV115" s="45"/>
      <c r="BW115" s="45"/>
      <c r="BX115" s="45"/>
      <c r="BY115" s="45">
        <f t="shared" si="129"/>
        <v>301575</v>
      </c>
      <c r="BZ115" s="45"/>
      <c r="CA115" s="45"/>
      <c r="CB115" s="45">
        <v>282630</v>
      </c>
      <c r="CC115" s="45">
        <f t="shared" si="130"/>
        <v>18945</v>
      </c>
      <c r="CD115" s="45"/>
    </row>
    <row r="116" spans="1:84" ht="15.75">
      <c r="A116" s="43"/>
      <c r="B116" s="44" t="s">
        <v>136</v>
      </c>
      <c r="C116" s="44"/>
      <c r="D116" s="44"/>
      <c r="E116" s="45"/>
      <c r="F116" s="45"/>
      <c r="G116" s="45"/>
      <c r="H116" s="45"/>
      <c r="I116" s="45"/>
      <c r="J116" s="45"/>
      <c r="K116" s="45">
        <f t="shared" si="118"/>
        <v>0</v>
      </c>
      <c r="L116" s="45"/>
      <c r="M116" s="45"/>
      <c r="N116" s="45"/>
      <c r="O116" s="45"/>
      <c r="P116" s="45"/>
      <c r="Q116" s="45">
        <f t="shared" si="119"/>
        <v>0</v>
      </c>
      <c r="R116" s="45"/>
      <c r="S116" s="45">
        <v>274673.61</v>
      </c>
      <c r="T116" s="45"/>
      <c r="U116" s="45"/>
      <c r="V116" s="45"/>
      <c r="W116" s="45">
        <f t="shared" si="120"/>
        <v>274673.61</v>
      </c>
      <c r="X116" s="45"/>
      <c r="Y116" s="45"/>
      <c r="Z116" s="45"/>
      <c r="AA116" s="45"/>
      <c r="AB116" s="45"/>
      <c r="AC116" s="45">
        <f t="shared" si="121"/>
        <v>274673.61</v>
      </c>
      <c r="AD116" s="45"/>
      <c r="AE116" s="527"/>
      <c r="AF116" s="527"/>
      <c r="AG116" s="45"/>
      <c r="AH116" s="45"/>
      <c r="AI116" s="45">
        <f>SUM(AC116+AE116-AF116+AG116-AH116)</f>
        <v>274673.61</v>
      </c>
      <c r="AJ116" s="45"/>
      <c r="AK116" s="45"/>
      <c r="AL116" s="45"/>
      <c r="AM116" s="45"/>
      <c r="AN116" s="45"/>
      <c r="AO116" s="45">
        <f t="shared" si="123"/>
        <v>274673.61</v>
      </c>
      <c r="AP116" s="45"/>
      <c r="AQ116" s="45"/>
      <c r="AR116" s="45"/>
      <c r="AS116" s="45"/>
      <c r="AT116" s="45"/>
      <c r="AU116" s="45">
        <f t="shared" si="124"/>
        <v>274673.61</v>
      </c>
      <c r="AV116" s="45"/>
      <c r="AW116" s="45"/>
      <c r="AX116" s="45"/>
      <c r="AY116" s="45"/>
      <c r="AZ116" s="45"/>
      <c r="BA116" s="45">
        <f t="shared" si="125"/>
        <v>274673.61</v>
      </c>
      <c r="BB116" s="45"/>
      <c r="BC116" s="45"/>
      <c r="BD116" s="45"/>
      <c r="BE116" s="45"/>
      <c r="BF116" s="45"/>
      <c r="BG116" s="45">
        <f t="shared" si="126"/>
        <v>274673.61</v>
      </c>
      <c r="BH116" s="45"/>
      <c r="BI116" s="45"/>
      <c r="BJ116" s="45"/>
      <c r="BK116" s="45"/>
      <c r="BL116" s="45"/>
      <c r="BM116" s="45">
        <f t="shared" si="127"/>
        <v>274673.61</v>
      </c>
      <c r="BN116" s="45"/>
      <c r="BO116" s="45"/>
      <c r="BP116" s="45"/>
      <c r="BQ116" s="45"/>
      <c r="BR116" s="45"/>
      <c r="BS116" s="45">
        <f t="shared" si="128"/>
        <v>274673.61</v>
      </c>
      <c r="BT116" s="45"/>
      <c r="BU116" s="45"/>
      <c r="BV116" s="45"/>
      <c r="BW116" s="45"/>
      <c r="BX116" s="45"/>
      <c r="BY116" s="45">
        <f t="shared" si="129"/>
        <v>274673.61</v>
      </c>
      <c r="BZ116" s="45"/>
      <c r="CA116" s="45"/>
      <c r="CB116" s="45">
        <v>221660</v>
      </c>
      <c r="CC116" s="45">
        <f t="shared" si="130"/>
        <v>53013.609999999986</v>
      </c>
      <c r="CD116" s="45"/>
      <c r="CF116" s="7">
        <f>+BI109+BK109</f>
        <v>1211048.75</v>
      </c>
    </row>
    <row r="117" spans="1:82" ht="15.75">
      <c r="A117" s="81"/>
      <c r="B117" s="82" t="s">
        <v>421</v>
      </c>
      <c r="C117" s="82"/>
      <c r="D117" s="82"/>
      <c r="E117" s="63"/>
      <c r="F117" s="63"/>
      <c r="G117" s="63"/>
      <c r="H117" s="63"/>
      <c r="I117" s="63"/>
      <c r="J117" s="63"/>
      <c r="K117" s="45">
        <f t="shared" si="118"/>
        <v>0</v>
      </c>
      <c r="L117" s="63"/>
      <c r="M117" s="63"/>
      <c r="N117" s="63"/>
      <c r="O117" s="63"/>
      <c r="P117" s="63"/>
      <c r="Q117" s="45">
        <f t="shared" si="119"/>
        <v>0</v>
      </c>
      <c r="R117" s="63"/>
      <c r="S117" s="63">
        <v>0</v>
      </c>
      <c r="T117" s="63"/>
      <c r="U117" s="63"/>
      <c r="V117" s="63"/>
      <c r="W117" s="45">
        <f t="shared" si="120"/>
        <v>0</v>
      </c>
      <c r="X117" s="63"/>
      <c r="Y117" s="63"/>
      <c r="Z117" s="63"/>
      <c r="AA117" s="63"/>
      <c r="AB117" s="63"/>
      <c r="AC117" s="45">
        <f t="shared" si="121"/>
        <v>0</v>
      </c>
      <c r="AD117" s="63"/>
      <c r="AE117" s="533"/>
      <c r="AF117" s="533"/>
      <c r="AG117" s="63"/>
      <c r="AH117" s="63"/>
      <c r="AI117" s="45">
        <f t="shared" si="122"/>
        <v>0</v>
      </c>
      <c r="AJ117" s="63"/>
      <c r="AK117" s="63"/>
      <c r="AL117" s="63"/>
      <c r="AM117" s="63"/>
      <c r="AN117" s="63"/>
      <c r="AO117" s="45">
        <f t="shared" si="123"/>
        <v>0</v>
      </c>
      <c r="AP117" s="63"/>
      <c r="AQ117" s="63"/>
      <c r="AR117" s="63"/>
      <c r="AS117" s="63"/>
      <c r="AT117" s="63"/>
      <c r="AU117" s="45">
        <f t="shared" si="124"/>
        <v>0</v>
      </c>
      <c r="AV117" s="63"/>
      <c r="AW117" s="63"/>
      <c r="AX117" s="63"/>
      <c r="AY117" s="63"/>
      <c r="AZ117" s="63"/>
      <c r="BA117" s="45">
        <f t="shared" si="125"/>
        <v>0</v>
      </c>
      <c r="BB117" s="63"/>
      <c r="BC117" s="63"/>
      <c r="BD117" s="63"/>
      <c r="BE117" s="63"/>
      <c r="BF117" s="63"/>
      <c r="BG117" s="45">
        <f>SUM(BA117+BC117-BD117+BE117-BF117)</f>
        <v>0</v>
      </c>
      <c r="BH117" s="63"/>
      <c r="BI117" s="63"/>
      <c r="BJ117" s="63"/>
      <c r="BK117" s="63"/>
      <c r="BL117" s="63"/>
      <c r="BM117" s="45">
        <f t="shared" si="127"/>
        <v>0</v>
      </c>
      <c r="BN117" s="63"/>
      <c r="BO117" s="63"/>
      <c r="BP117" s="63"/>
      <c r="BQ117" s="63"/>
      <c r="BR117" s="63"/>
      <c r="BS117" s="45">
        <f t="shared" si="128"/>
        <v>0</v>
      </c>
      <c r="BT117" s="63"/>
      <c r="BU117" s="63"/>
      <c r="BV117" s="63"/>
      <c r="BW117" s="63"/>
      <c r="BX117" s="63"/>
      <c r="BY117" s="45">
        <f t="shared" si="129"/>
        <v>0</v>
      </c>
      <c r="BZ117" s="63"/>
      <c r="CA117" s="63"/>
      <c r="CB117" s="63">
        <v>21109</v>
      </c>
      <c r="CC117" s="45">
        <f t="shared" si="130"/>
        <v>-21109</v>
      </c>
      <c r="CD117" s="63"/>
    </row>
    <row r="118" spans="1:82" ht="15.75">
      <c r="A118" s="46"/>
      <c r="B118" s="47"/>
      <c r="C118" s="47"/>
      <c r="D118" s="47"/>
      <c r="E118" s="48"/>
      <c r="F118" s="48"/>
      <c r="G118" s="48"/>
      <c r="H118" s="48"/>
      <c r="I118" s="48"/>
      <c r="J118" s="48"/>
      <c r="K118" s="48">
        <f t="shared" si="118"/>
        <v>0</v>
      </c>
      <c r="L118" s="48"/>
      <c r="M118" s="48"/>
      <c r="N118" s="48"/>
      <c r="O118" s="48"/>
      <c r="P118" s="48"/>
      <c r="Q118" s="48">
        <f t="shared" si="119"/>
        <v>0</v>
      </c>
      <c r="R118" s="48"/>
      <c r="S118" s="48"/>
      <c r="T118" s="48"/>
      <c r="U118" s="48"/>
      <c r="V118" s="48"/>
      <c r="W118" s="48">
        <f t="shared" si="120"/>
        <v>0</v>
      </c>
      <c r="X118" s="48"/>
      <c r="Y118" s="48"/>
      <c r="Z118" s="48"/>
      <c r="AA118" s="48"/>
      <c r="AB118" s="48"/>
      <c r="AC118" s="48">
        <f t="shared" si="121"/>
        <v>0</v>
      </c>
      <c r="AD118" s="48"/>
      <c r="AE118" s="528"/>
      <c r="AF118" s="528"/>
      <c r="AG118" s="48"/>
      <c r="AH118" s="48"/>
      <c r="AI118" s="48">
        <f t="shared" si="122"/>
        <v>0</v>
      </c>
      <c r="AJ118" s="48"/>
      <c r="AK118" s="48"/>
      <c r="AL118" s="48"/>
      <c r="AM118" s="48"/>
      <c r="AN118" s="48"/>
      <c r="AO118" s="48">
        <f t="shared" si="123"/>
        <v>0</v>
      </c>
      <c r="AP118" s="48"/>
      <c r="AQ118" s="48"/>
      <c r="AR118" s="48"/>
      <c r="AS118" s="48"/>
      <c r="AT118" s="48"/>
      <c r="AU118" s="48">
        <f t="shared" si="124"/>
        <v>0</v>
      </c>
      <c r="AV118" s="48"/>
      <c r="AW118" s="48"/>
      <c r="AX118" s="48"/>
      <c r="AY118" s="48"/>
      <c r="AZ118" s="48"/>
      <c r="BA118" s="48">
        <f t="shared" si="125"/>
        <v>0</v>
      </c>
      <c r="BB118" s="48"/>
      <c r="BC118" s="48"/>
      <c r="BD118" s="48"/>
      <c r="BE118" s="48"/>
      <c r="BF118" s="48"/>
      <c r="BG118" s="48">
        <f>SUM(BA118+BC118-BD118+BE118-BF118)</f>
        <v>0</v>
      </c>
      <c r="BH118" s="48"/>
      <c r="BI118" s="48"/>
      <c r="BJ118" s="48"/>
      <c r="BK118" s="48"/>
      <c r="BL118" s="48"/>
      <c r="BM118" s="48">
        <f t="shared" si="127"/>
        <v>0</v>
      </c>
      <c r="BN118" s="48"/>
      <c r="BO118" s="48"/>
      <c r="BP118" s="48"/>
      <c r="BQ118" s="48"/>
      <c r="BR118" s="48"/>
      <c r="BS118" s="48">
        <f t="shared" si="128"/>
        <v>0</v>
      </c>
      <c r="BT118" s="48"/>
      <c r="BU118" s="48"/>
      <c r="BV118" s="48"/>
      <c r="BW118" s="48"/>
      <c r="BX118" s="48"/>
      <c r="BY118" s="48">
        <f t="shared" si="129"/>
        <v>0</v>
      </c>
      <c r="BZ118" s="48"/>
      <c r="CA118" s="48"/>
      <c r="CB118" s="48">
        <v>0</v>
      </c>
      <c r="CC118" s="48">
        <f>SUM(BW118+BY118-BZ118+CA118-CB118)</f>
        <v>0</v>
      </c>
      <c r="CD118" s="48"/>
    </row>
    <row r="119" spans="1:82" ht="15.75">
      <c r="A119" s="34" t="s">
        <v>123</v>
      </c>
      <c r="B119" s="32"/>
      <c r="C119" s="32"/>
      <c r="D119" s="32"/>
      <c r="E119" s="13"/>
      <c r="F119" s="13"/>
      <c r="G119" s="13">
        <v>209060</v>
      </c>
      <c r="H119" s="13"/>
      <c r="I119" s="13"/>
      <c r="J119" s="13"/>
      <c r="K119" s="13">
        <f>SUM(E119+G119-H119+I119-J119)</f>
        <v>209060</v>
      </c>
      <c r="L119" s="13"/>
      <c r="M119" s="13">
        <v>209060</v>
      </c>
      <c r="N119" s="13"/>
      <c r="O119" s="13"/>
      <c r="P119" s="13"/>
      <c r="Q119" s="13">
        <f>SUM(K119+M119-N119+O119-P119)</f>
        <v>418120</v>
      </c>
      <c r="R119" s="13"/>
      <c r="S119" s="13">
        <v>228058</v>
      </c>
      <c r="T119" s="13"/>
      <c r="U119" s="13"/>
      <c r="V119" s="13"/>
      <c r="W119" s="13">
        <f>SUM(Q119+S119-T119+U119-V119)</f>
        <v>646178</v>
      </c>
      <c r="X119" s="13"/>
      <c r="Y119" s="13">
        <v>218720</v>
      </c>
      <c r="Z119" s="13"/>
      <c r="AA119" s="13"/>
      <c r="AB119" s="13"/>
      <c r="AC119" s="13">
        <f>SUM(W119+Y119-Z119+AA119-AB119)</f>
        <v>864898</v>
      </c>
      <c r="AD119" s="13"/>
      <c r="AE119" s="13">
        <v>218720</v>
      </c>
      <c r="AF119" s="524"/>
      <c r="AG119" s="13"/>
      <c r="AH119" s="13"/>
      <c r="AI119" s="13">
        <f>SUM(AC119+AE119-AF119+AG119-AH119)</f>
        <v>1083618</v>
      </c>
      <c r="AJ119" s="13"/>
      <c r="AK119" s="13">
        <v>218720</v>
      </c>
      <c r="AL119" s="13"/>
      <c r="AM119" s="13"/>
      <c r="AN119" s="13"/>
      <c r="AO119" s="13">
        <f>SUM(AI119+AK119-AL119+AM119-AN119)</f>
        <v>1302338</v>
      </c>
      <c r="AP119" s="13"/>
      <c r="AQ119" s="13"/>
      <c r="AR119" s="13"/>
      <c r="AS119" s="13"/>
      <c r="AT119" s="13"/>
      <c r="AU119" s="13">
        <f>SUM(AO119+AQ119-AR119+AS119-AT119)</f>
        <v>1302338</v>
      </c>
      <c r="AV119" s="13"/>
      <c r="AW119" s="13">
        <v>218720</v>
      </c>
      <c r="AX119" s="13"/>
      <c r="AY119" s="13"/>
      <c r="AZ119" s="13"/>
      <c r="BA119" s="13">
        <f>SUM(AU119+AW119-AX119+AY119-AZ119)</f>
        <v>1521058</v>
      </c>
      <c r="BB119" s="13"/>
      <c r="BC119" s="13">
        <v>218720</v>
      </c>
      <c r="BD119" s="13"/>
      <c r="BE119" s="13"/>
      <c r="BF119" s="13"/>
      <c r="BG119" s="13">
        <f>SUM(BA119+BC119-BD119+BE119-BF119)</f>
        <v>1739778</v>
      </c>
      <c r="BH119" s="13"/>
      <c r="BI119" s="13">
        <v>218720</v>
      </c>
      <c r="BJ119" s="13"/>
      <c r="BK119" s="13"/>
      <c r="BL119" s="13"/>
      <c r="BM119" s="13">
        <f>SUM(BG119+BI119-BJ119+BK119-BL119)</f>
        <v>1958498</v>
      </c>
      <c r="BN119" s="13"/>
      <c r="BO119" s="13">
        <v>218720</v>
      </c>
      <c r="BP119" s="13"/>
      <c r="BQ119" s="13"/>
      <c r="BR119" s="13"/>
      <c r="BS119" s="13">
        <f>SUM(BM119+BO119-BP119+BQ119-BR119)</f>
        <v>2177218</v>
      </c>
      <c r="BT119" s="13"/>
      <c r="BU119" s="13">
        <v>210992</v>
      </c>
      <c r="BV119" s="13"/>
      <c r="BW119" s="13"/>
      <c r="BX119" s="13"/>
      <c r="BY119" s="13">
        <f>SUM(BS119+BU119-BV119+BW119-BX119)</f>
        <v>2388210</v>
      </c>
      <c r="BZ119" s="13"/>
      <c r="CA119" s="13"/>
      <c r="CB119" s="13">
        <v>2250548</v>
      </c>
      <c r="CC119" s="13">
        <f>+BY119+CA119-CB119</f>
        <v>137662</v>
      </c>
      <c r="CD119" s="13"/>
    </row>
    <row r="120" spans="1:83" ht="15.75">
      <c r="A120" s="34" t="s">
        <v>122</v>
      </c>
      <c r="B120" s="32"/>
      <c r="C120" s="32"/>
      <c r="D120" s="32"/>
      <c r="E120" s="13"/>
      <c r="F120" s="13"/>
      <c r="G120" s="13">
        <v>253107.58</v>
      </c>
      <c r="H120" s="13"/>
      <c r="I120" s="13"/>
      <c r="J120" s="13"/>
      <c r="K120" s="13">
        <f aca="true" t="shared" si="131" ref="K120:K131">SUM(E120+G120-H120+I120-J120)</f>
        <v>253107.58</v>
      </c>
      <c r="L120" s="13"/>
      <c r="M120" s="13">
        <v>264225</v>
      </c>
      <c r="N120" s="13">
        <v>310</v>
      </c>
      <c r="O120" s="13"/>
      <c r="P120" s="13"/>
      <c r="Q120" s="13">
        <f>SUM(K120+M120-N120+O120-P120)</f>
        <v>517022.57999999996</v>
      </c>
      <c r="R120" s="13"/>
      <c r="S120" s="13">
        <v>270915</v>
      </c>
      <c r="T120" s="13"/>
      <c r="U120" s="13"/>
      <c r="V120" s="13"/>
      <c r="W120" s="13">
        <f aca="true" t="shared" si="132" ref="W120:W131">SUM(Q120+S120-T120+U120-V120)</f>
        <v>787937.58</v>
      </c>
      <c r="X120" s="13"/>
      <c r="Y120" s="13">
        <v>275527.58</v>
      </c>
      <c r="Z120" s="13"/>
      <c r="AA120" s="13"/>
      <c r="AB120" s="13"/>
      <c r="AC120" s="13">
        <f aca="true" t="shared" si="133" ref="AC120:AC131">SUM(W120+Y120-Z120+AA120-AB120)</f>
        <v>1063465.16</v>
      </c>
      <c r="AD120" s="13"/>
      <c r="AE120" s="13">
        <v>640597</v>
      </c>
      <c r="AF120" s="13">
        <v>149.33</v>
      </c>
      <c r="AG120" s="13"/>
      <c r="AH120" s="13"/>
      <c r="AI120" s="13">
        <f aca="true" t="shared" si="134" ref="AI120:AI131">SUM(AC120+AE120-AF120+AG120-AH120)</f>
        <v>1703912.8299999998</v>
      </c>
      <c r="AJ120" s="13"/>
      <c r="AK120" s="13">
        <v>301499</v>
      </c>
      <c r="AL120" s="13"/>
      <c r="AM120" s="13"/>
      <c r="AN120" s="13"/>
      <c r="AO120" s="13">
        <f aca="true" t="shared" si="135" ref="AO120:AO131">SUM(AI120+AK120-AL120+AM120-AN120)</f>
        <v>2005411.8299999998</v>
      </c>
      <c r="AP120" s="13"/>
      <c r="AQ120" s="13"/>
      <c r="AR120" s="13"/>
      <c r="AS120" s="13"/>
      <c r="AT120" s="13"/>
      <c r="AU120" s="13">
        <f>SUM(AO120+AQ120-AR120+AS120-AT120)</f>
        <v>2005411.8299999998</v>
      </c>
      <c r="AV120" s="13"/>
      <c r="AW120" s="13">
        <v>223082</v>
      </c>
      <c r="AX120" s="13">
        <v>1977</v>
      </c>
      <c r="AY120" s="13"/>
      <c r="AZ120" s="13"/>
      <c r="BA120" s="13">
        <f aca="true" t="shared" si="136" ref="BA120:BA131">SUM(AU120+AW120-AX120+AY120-AZ120)</f>
        <v>2226516.83</v>
      </c>
      <c r="BB120" s="13"/>
      <c r="BC120" s="13">
        <v>217340</v>
      </c>
      <c r="BD120" s="13"/>
      <c r="BE120" s="13"/>
      <c r="BF120" s="13"/>
      <c r="BG120" s="13">
        <f aca="true" t="shared" si="137" ref="BG120:BG131">SUM(BA120+BC120-BD120+BE120-BF120)</f>
        <v>2443856.83</v>
      </c>
      <c r="BH120" s="13"/>
      <c r="BI120" s="13">
        <v>227951.29</v>
      </c>
      <c r="BJ120" s="13"/>
      <c r="BK120" s="13"/>
      <c r="BL120" s="13"/>
      <c r="BM120" s="13">
        <f aca="true" t="shared" si="138" ref="BM120:BM131">SUM(BG120+BI120-BJ120+BK120-BL120)</f>
        <v>2671808.12</v>
      </c>
      <c r="BN120" s="13"/>
      <c r="BO120" s="13">
        <v>219759.35</v>
      </c>
      <c r="BP120" s="13"/>
      <c r="BQ120" s="13"/>
      <c r="BR120" s="13"/>
      <c r="BS120" s="13">
        <f aca="true" t="shared" si="139" ref="BS120:BS130">SUM(BM120+BO120-BP120+BQ120-BR120)</f>
        <v>2891567.47</v>
      </c>
      <c r="BT120" s="13"/>
      <c r="BU120" s="13">
        <v>254036.67</v>
      </c>
      <c r="BV120" s="13"/>
      <c r="BW120" s="13">
        <v>1495</v>
      </c>
      <c r="BX120" s="13"/>
      <c r="BY120" s="13">
        <f aca="true" t="shared" si="140" ref="BY120:BY131">SUM(BS120+BU120-BV120+BW120-BX120)</f>
        <v>3147099.14</v>
      </c>
      <c r="BZ120" s="13"/>
      <c r="CA120" s="13"/>
      <c r="CB120" s="13">
        <v>2713528.31</v>
      </c>
      <c r="CC120" s="13">
        <f aca="true" t="shared" si="141" ref="CC120:CC130">+BY120+CA120-CB120</f>
        <v>433570.8300000001</v>
      </c>
      <c r="CD120" s="13"/>
      <c r="CE120" s="7">
        <f>+BY120-'[2]จ่ายเดือน (2)'!$G$26</f>
        <v>433570.83000000054</v>
      </c>
    </row>
    <row r="121" spans="1:83" ht="15.75">
      <c r="A121" s="14" t="s">
        <v>3</v>
      </c>
      <c r="B121" s="32"/>
      <c r="C121" s="32"/>
      <c r="D121" s="32"/>
      <c r="E121" s="13"/>
      <c r="F121" s="13"/>
      <c r="G121" s="13">
        <v>27285</v>
      </c>
      <c r="H121" s="13"/>
      <c r="I121" s="13"/>
      <c r="J121" s="13"/>
      <c r="K121" s="13">
        <f t="shared" si="131"/>
        <v>27285</v>
      </c>
      <c r="L121" s="13"/>
      <c r="M121" s="13">
        <v>27285</v>
      </c>
      <c r="N121" s="13"/>
      <c r="O121" s="13"/>
      <c r="P121" s="13"/>
      <c r="Q121" s="13">
        <f aca="true" t="shared" si="142" ref="Q121:Q131">SUM(K121+M121-N121+O121-P121)</f>
        <v>54570</v>
      </c>
      <c r="R121" s="13"/>
      <c r="S121" s="13">
        <v>27285</v>
      </c>
      <c r="T121" s="13"/>
      <c r="U121" s="13"/>
      <c r="V121" s="13"/>
      <c r="W121" s="13">
        <f t="shared" si="132"/>
        <v>81855</v>
      </c>
      <c r="X121" s="13"/>
      <c r="Y121" s="13">
        <v>27285</v>
      </c>
      <c r="Z121" s="13"/>
      <c r="AA121" s="13"/>
      <c r="AB121" s="13"/>
      <c r="AC121" s="13">
        <f t="shared" si="133"/>
        <v>109140</v>
      </c>
      <c r="AD121" s="13"/>
      <c r="AE121" s="13">
        <v>27285</v>
      </c>
      <c r="AF121" s="524"/>
      <c r="AG121" s="13"/>
      <c r="AH121" s="13"/>
      <c r="AI121" s="13">
        <f t="shared" si="134"/>
        <v>136425</v>
      </c>
      <c r="AJ121" s="13"/>
      <c r="AK121" s="13">
        <v>27285</v>
      </c>
      <c r="AL121" s="13"/>
      <c r="AM121" s="13"/>
      <c r="AN121" s="13"/>
      <c r="AO121" s="13">
        <f t="shared" si="135"/>
        <v>163710</v>
      </c>
      <c r="AP121" s="13"/>
      <c r="AQ121" s="13"/>
      <c r="AR121" s="13"/>
      <c r="AS121" s="13"/>
      <c r="AT121" s="13"/>
      <c r="AU121" s="13">
        <f aca="true" t="shared" si="143" ref="AU121:AU131">SUM(AO121+AQ121-AR121+AS121-AT121)</f>
        <v>163710</v>
      </c>
      <c r="AV121" s="13"/>
      <c r="AW121" s="13">
        <v>27725</v>
      </c>
      <c r="AX121" s="13"/>
      <c r="AY121" s="13"/>
      <c r="AZ121" s="13"/>
      <c r="BA121" s="13">
        <f t="shared" si="136"/>
        <v>191435</v>
      </c>
      <c r="BB121" s="13"/>
      <c r="BC121" s="13">
        <v>27285</v>
      </c>
      <c r="BD121" s="13"/>
      <c r="BE121" s="13"/>
      <c r="BF121" s="13"/>
      <c r="BG121" s="13">
        <f t="shared" si="137"/>
        <v>218720</v>
      </c>
      <c r="BH121" s="13"/>
      <c r="BI121" s="13">
        <v>27285</v>
      </c>
      <c r="BJ121" s="13"/>
      <c r="BK121" s="13"/>
      <c r="BL121" s="13"/>
      <c r="BM121" s="13">
        <f t="shared" si="138"/>
        <v>246005</v>
      </c>
      <c r="BN121" s="13"/>
      <c r="BO121" s="13">
        <v>27285</v>
      </c>
      <c r="BP121" s="13"/>
      <c r="BQ121" s="13"/>
      <c r="BR121" s="13"/>
      <c r="BS121" s="13">
        <f t="shared" si="139"/>
        <v>273290</v>
      </c>
      <c r="BT121" s="13"/>
      <c r="BU121" s="13">
        <v>27285</v>
      </c>
      <c r="BV121" s="13"/>
      <c r="BW121" s="13"/>
      <c r="BX121" s="13">
        <v>415</v>
      </c>
      <c r="BY121" s="13">
        <f t="shared" si="140"/>
        <v>300160</v>
      </c>
      <c r="BZ121" s="13"/>
      <c r="CA121" s="13"/>
      <c r="CB121" s="13">
        <v>313695</v>
      </c>
      <c r="CC121" s="13">
        <f t="shared" si="141"/>
        <v>-13535</v>
      </c>
      <c r="CD121" s="13"/>
      <c r="CE121" s="7">
        <f>+BY121-'[2]จ่ายเดือน (2)'!$G$30</f>
        <v>-13535</v>
      </c>
    </row>
    <row r="122" spans="1:83" ht="15.75">
      <c r="A122" s="14" t="s">
        <v>4</v>
      </c>
      <c r="B122" s="32"/>
      <c r="C122" s="32"/>
      <c r="D122" s="32"/>
      <c r="E122" s="13"/>
      <c r="F122" s="13"/>
      <c r="G122" s="13">
        <v>177900</v>
      </c>
      <c r="H122" s="13"/>
      <c r="I122" s="13"/>
      <c r="J122" s="13"/>
      <c r="K122" s="13">
        <f t="shared" si="131"/>
        <v>177900</v>
      </c>
      <c r="L122" s="13"/>
      <c r="M122" s="13">
        <v>168900</v>
      </c>
      <c r="N122" s="13"/>
      <c r="O122" s="13"/>
      <c r="P122" s="13"/>
      <c r="Q122" s="13">
        <f t="shared" si="142"/>
        <v>346800</v>
      </c>
      <c r="R122" s="13"/>
      <c r="S122" s="13">
        <v>159900</v>
      </c>
      <c r="T122" s="13"/>
      <c r="U122" s="13"/>
      <c r="V122" s="13"/>
      <c r="W122" s="13">
        <f t="shared" si="132"/>
        <v>506700</v>
      </c>
      <c r="X122" s="13"/>
      <c r="Y122" s="13">
        <v>159900</v>
      </c>
      <c r="Z122" s="13"/>
      <c r="AA122" s="13"/>
      <c r="AB122" s="13"/>
      <c r="AC122" s="13">
        <f t="shared" si="133"/>
        <v>666600</v>
      </c>
      <c r="AD122" s="13"/>
      <c r="AE122" s="13">
        <v>148970</v>
      </c>
      <c r="AF122" s="524"/>
      <c r="AG122" s="13"/>
      <c r="AH122" s="13"/>
      <c r="AI122" s="13">
        <f t="shared" si="134"/>
        <v>815570</v>
      </c>
      <c r="AJ122" s="13"/>
      <c r="AK122" s="13">
        <v>156123</v>
      </c>
      <c r="AL122" s="13"/>
      <c r="AM122" s="13"/>
      <c r="AN122" s="13"/>
      <c r="AO122" s="13">
        <f t="shared" si="135"/>
        <v>971693</v>
      </c>
      <c r="AP122" s="13"/>
      <c r="AQ122" s="13"/>
      <c r="AR122" s="13"/>
      <c r="AS122" s="13"/>
      <c r="AT122" s="13"/>
      <c r="AU122" s="13">
        <f t="shared" si="143"/>
        <v>971693</v>
      </c>
      <c r="AV122" s="13"/>
      <c r="AW122" s="13">
        <v>144900</v>
      </c>
      <c r="AX122" s="13"/>
      <c r="AY122" s="13"/>
      <c r="AZ122" s="13"/>
      <c r="BA122" s="13">
        <f t="shared" si="136"/>
        <v>1116593</v>
      </c>
      <c r="BB122" s="13"/>
      <c r="BC122" s="13">
        <v>144450</v>
      </c>
      <c r="BD122" s="13"/>
      <c r="BE122" s="13"/>
      <c r="BF122" s="13"/>
      <c r="BG122" s="13">
        <f t="shared" si="137"/>
        <v>1261043</v>
      </c>
      <c r="BH122" s="13"/>
      <c r="BI122" s="13">
        <v>144000</v>
      </c>
      <c r="BJ122" s="13"/>
      <c r="BK122" s="13"/>
      <c r="BL122" s="13"/>
      <c r="BM122" s="13">
        <f t="shared" si="138"/>
        <v>1405043</v>
      </c>
      <c r="BN122" s="13"/>
      <c r="BO122" s="13">
        <v>168450</v>
      </c>
      <c r="BP122" s="13"/>
      <c r="BQ122" s="13"/>
      <c r="BR122" s="13"/>
      <c r="BS122" s="13">
        <f t="shared" si="139"/>
        <v>1573493</v>
      </c>
      <c r="BT122" s="13"/>
      <c r="BU122" s="13">
        <v>168450</v>
      </c>
      <c r="BV122" s="13"/>
      <c r="BW122" s="13"/>
      <c r="BX122" s="13"/>
      <c r="BY122" s="13">
        <f t="shared" si="140"/>
        <v>1741943</v>
      </c>
      <c r="BZ122" s="13"/>
      <c r="CA122" s="13"/>
      <c r="CB122" s="13">
        <v>1851857.14</v>
      </c>
      <c r="CC122" s="13">
        <f t="shared" si="141"/>
        <v>-109914.1399999999</v>
      </c>
      <c r="CD122" s="13"/>
      <c r="CE122" s="7">
        <f>+BY122-'[2]จ่ายเดือน (2)'!$G$33</f>
        <v>-109914.14000000013</v>
      </c>
    </row>
    <row r="123" spans="1:82" ht="15.75">
      <c r="A123" s="14" t="s">
        <v>5</v>
      </c>
      <c r="B123" s="32"/>
      <c r="C123" s="32"/>
      <c r="D123" s="32"/>
      <c r="E123" s="13"/>
      <c r="F123" s="13"/>
      <c r="G123" s="13">
        <v>42983</v>
      </c>
      <c r="H123" s="13"/>
      <c r="I123" s="13"/>
      <c r="J123" s="13"/>
      <c r="K123" s="13">
        <f>SUM(E123+G123-H123+I123-J123)</f>
        <v>42983</v>
      </c>
      <c r="L123" s="13"/>
      <c r="M123" s="13">
        <f>7950.4-2156.4</f>
        <v>5794</v>
      </c>
      <c r="N123" s="13"/>
      <c r="O123" s="13"/>
      <c r="P123" s="13"/>
      <c r="Q123" s="13">
        <f t="shared" si="142"/>
        <v>48777</v>
      </c>
      <c r="R123" s="13"/>
      <c r="S123" s="13">
        <v>25258</v>
      </c>
      <c r="T123" s="13"/>
      <c r="U123" s="13">
        <v>12000</v>
      </c>
      <c r="V123" s="13"/>
      <c r="W123" s="13">
        <f t="shared" si="132"/>
        <v>86035</v>
      </c>
      <c r="X123" s="13"/>
      <c r="Y123" s="13">
        <v>32940</v>
      </c>
      <c r="Z123" s="13"/>
      <c r="AA123" s="13"/>
      <c r="AB123" s="13"/>
      <c r="AC123" s="13">
        <f t="shared" si="133"/>
        <v>118975</v>
      </c>
      <c r="AD123" s="13"/>
      <c r="AE123" s="13">
        <v>40300</v>
      </c>
      <c r="AF123" s="524"/>
      <c r="AG123" s="13"/>
      <c r="AH123" s="13"/>
      <c r="AI123" s="13">
        <f t="shared" si="134"/>
        <v>159275</v>
      </c>
      <c r="AJ123" s="13"/>
      <c r="AK123" s="13">
        <v>27600</v>
      </c>
      <c r="AL123" s="13"/>
      <c r="AM123" s="13"/>
      <c r="AN123" s="13"/>
      <c r="AO123" s="13">
        <f t="shared" si="135"/>
        <v>186875</v>
      </c>
      <c r="AP123" s="13"/>
      <c r="AQ123" s="13"/>
      <c r="AR123" s="13"/>
      <c r="AS123" s="13"/>
      <c r="AT123" s="13"/>
      <c r="AU123" s="13">
        <f t="shared" si="143"/>
        <v>186875</v>
      </c>
      <c r="AV123" s="13"/>
      <c r="AW123" s="13">
        <v>82550</v>
      </c>
      <c r="AX123" s="13"/>
      <c r="AY123" s="13"/>
      <c r="AZ123" s="13"/>
      <c r="BA123" s="13">
        <f t="shared" si="136"/>
        <v>269425</v>
      </c>
      <c r="BB123" s="13"/>
      <c r="BC123" s="13">
        <v>39064</v>
      </c>
      <c r="BD123" s="13"/>
      <c r="BE123" s="13"/>
      <c r="BF123" s="13"/>
      <c r="BG123" s="13">
        <f t="shared" si="137"/>
        <v>308489</v>
      </c>
      <c r="BH123" s="13"/>
      <c r="BI123" s="13">
        <v>36958</v>
      </c>
      <c r="BJ123" s="13"/>
      <c r="BK123" s="13"/>
      <c r="BL123" s="13"/>
      <c r="BM123" s="13">
        <f t="shared" si="138"/>
        <v>345447</v>
      </c>
      <c r="BN123" s="13"/>
      <c r="BO123" s="13">
        <v>67560</v>
      </c>
      <c r="BP123" s="13"/>
      <c r="BQ123" s="13"/>
      <c r="BR123" s="13"/>
      <c r="BS123" s="13">
        <f t="shared" si="139"/>
        <v>413007</v>
      </c>
      <c r="BT123" s="13"/>
      <c r="BU123" s="13">
        <v>87808.5</v>
      </c>
      <c r="BV123" s="13"/>
      <c r="BW123" s="13">
        <v>0</v>
      </c>
      <c r="BX123" s="13"/>
      <c r="BY123" s="13">
        <f t="shared" si="140"/>
        <v>500815.5</v>
      </c>
      <c r="BZ123" s="13"/>
      <c r="CA123" s="13"/>
      <c r="CB123" s="13">
        <v>648183.5</v>
      </c>
      <c r="CC123" s="13">
        <f>+BY123+CA123-CB123</f>
        <v>-147368</v>
      </c>
      <c r="CD123" s="13"/>
    </row>
    <row r="124" spans="1:82" ht="15.75">
      <c r="A124" s="34" t="s">
        <v>6</v>
      </c>
      <c r="B124" s="32"/>
      <c r="C124" s="32"/>
      <c r="D124" s="32"/>
      <c r="E124" s="13"/>
      <c r="F124" s="13"/>
      <c r="G124" s="13">
        <v>52522.25</v>
      </c>
      <c r="H124" s="13"/>
      <c r="I124" s="13"/>
      <c r="J124" s="13"/>
      <c r="K124" s="13">
        <f t="shared" si="131"/>
        <v>52522.25</v>
      </c>
      <c r="L124" s="13"/>
      <c r="M124" s="13">
        <f>426363.5+2156.4</f>
        <v>428519.9</v>
      </c>
      <c r="N124" s="13"/>
      <c r="O124" s="13">
        <v>141350</v>
      </c>
      <c r="P124" s="13"/>
      <c r="Q124" s="13">
        <f>SUM(K124+M124-N124+O124-P124)</f>
        <v>622392.15</v>
      </c>
      <c r="R124" s="13"/>
      <c r="S124" s="13">
        <v>353991</v>
      </c>
      <c r="T124" s="13"/>
      <c r="U124" s="13">
        <f>4880+3920+6740+7040+4800</f>
        <v>27380</v>
      </c>
      <c r="V124" s="13"/>
      <c r="W124" s="13">
        <f>SUM(Q124+S124-T124+U124-V124)</f>
        <v>1003763.15</v>
      </c>
      <c r="X124" s="13"/>
      <c r="Y124" s="13">
        <v>616483.75</v>
      </c>
      <c r="Z124" s="13"/>
      <c r="AA124" s="13">
        <v>13960</v>
      </c>
      <c r="AB124" s="13"/>
      <c r="AC124" s="13">
        <f t="shared" si="133"/>
        <v>1634206.9</v>
      </c>
      <c r="AD124" s="13"/>
      <c r="AE124" s="13">
        <v>101827.5</v>
      </c>
      <c r="AF124" s="524"/>
      <c r="AG124" s="13"/>
      <c r="AH124" s="13"/>
      <c r="AI124" s="13">
        <f t="shared" si="134"/>
        <v>1736034.4</v>
      </c>
      <c r="AJ124" s="13"/>
      <c r="AK124" s="13">
        <v>172431.81</v>
      </c>
      <c r="AL124" s="13"/>
      <c r="AM124" s="13"/>
      <c r="AN124" s="13"/>
      <c r="AO124" s="13">
        <f t="shared" si="135"/>
        <v>1908466.21</v>
      </c>
      <c r="AP124" s="13"/>
      <c r="AQ124" s="13"/>
      <c r="AR124" s="13"/>
      <c r="AS124" s="13"/>
      <c r="AT124" s="13"/>
      <c r="AU124" s="13">
        <f t="shared" si="143"/>
        <v>1908466.21</v>
      </c>
      <c r="AV124" s="13"/>
      <c r="AW124" s="13">
        <v>177622</v>
      </c>
      <c r="AX124" s="13">
        <v>0</v>
      </c>
      <c r="AY124" s="13">
        <f>5700+5700+5632+5700+6400</f>
        <v>29132</v>
      </c>
      <c r="AZ124" s="13"/>
      <c r="BA124" s="13">
        <f t="shared" si="136"/>
        <v>2115220.21</v>
      </c>
      <c r="BB124" s="13"/>
      <c r="BC124" s="13">
        <v>95457</v>
      </c>
      <c r="BD124" s="13">
        <v>41100</v>
      </c>
      <c r="BE124" s="13">
        <v>6400</v>
      </c>
      <c r="BF124" s="13">
        <v>6400</v>
      </c>
      <c r="BG124" s="13">
        <f>SUM(BA124+BC124-BD124+BE124-BF124)</f>
        <v>2169577.21</v>
      </c>
      <c r="BH124" s="13"/>
      <c r="BI124" s="13">
        <v>135385</v>
      </c>
      <c r="BJ124" s="13"/>
      <c r="BK124" s="13">
        <v>3680</v>
      </c>
      <c r="BL124" s="13"/>
      <c r="BM124" s="13">
        <f t="shared" si="138"/>
        <v>2308642.21</v>
      </c>
      <c r="BN124" s="13"/>
      <c r="BO124" s="13">
        <v>326127.75</v>
      </c>
      <c r="BP124" s="13"/>
      <c r="BQ124" s="13">
        <f>96000+10597.5</f>
        <v>106597.5</v>
      </c>
      <c r="BR124" s="13"/>
      <c r="BS124" s="13">
        <f t="shared" si="139"/>
        <v>2741367.46</v>
      </c>
      <c r="BT124" s="13"/>
      <c r="BU124" s="13">
        <f>446133.5+2780</f>
        <v>448913.5</v>
      </c>
      <c r="BV124" s="13">
        <v>750</v>
      </c>
      <c r="BW124" s="13">
        <f>3600+5000+3600+29475+98200+44980</f>
        <v>184855</v>
      </c>
      <c r="BX124" s="13"/>
      <c r="BY124" s="13">
        <f>SUM(BS124+BU124-BV124+BW124-BX124)</f>
        <v>3374385.96</v>
      </c>
      <c r="BZ124" s="13"/>
      <c r="CA124" s="13"/>
      <c r="CB124" s="13">
        <v>4013487.1</v>
      </c>
      <c r="CC124" s="13">
        <f>+BY124-CB124</f>
        <v>-639101.1400000001</v>
      </c>
      <c r="CD124" s="13"/>
    </row>
    <row r="125" spans="1:82" ht="15.75">
      <c r="A125" s="34" t="s">
        <v>7</v>
      </c>
      <c r="B125" s="32"/>
      <c r="C125" s="32"/>
      <c r="D125" s="32"/>
      <c r="E125" s="13"/>
      <c r="F125" s="13"/>
      <c r="G125" s="13">
        <v>7830</v>
      </c>
      <c r="H125" s="13"/>
      <c r="I125" s="13"/>
      <c r="J125" s="13"/>
      <c r="K125" s="13">
        <f t="shared" si="131"/>
        <v>7830</v>
      </c>
      <c r="L125" s="13"/>
      <c r="M125" s="13">
        <v>106769</v>
      </c>
      <c r="N125" s="13"/>
      <c r="O125" s="13"/>
      <c r="P125" s="13"/>
      <c r="Q125" s="13">
        <f t="shared" si="142"/>
        <v>114599</v>
      </c>
      <c r="R125" s="13"/>
      <c r="S125" s="13">
        <v>87450</v>
      </c>
      <c r="T125" s="13"/>
      <c r="U125" s="13"/>
      <c r="V125" s="13"/>
      <c r="W125" s="13">
        <f t="shared" si="132"/>
        <v>202049</v>
      </c>
      <c r="X125" s="13"/>
      <c r="Y125" s="13">
        <v>143872</v>
      </c>
      <c r="Z125" s="13"/>
      <c r="AA125" s="13"/>
      <c r="AB125" s="13"/>
      <c r="AC125" s="13">
        <f t="shared" si="133"/>
        <v>345921</v>
      </c>
      <c r="AD125" s="13"/>
      <c r="AE125" s="13">
        <v>71820</v>
      </c>
      <c r="AF125" s="524"/>
      <c r="AG125" s="13"/>
      <c r="AH125" s="13"/>
      <c r="AI125" s="13">
        <f t="shared" si="134"/>
        <v>417741</v>
      </c>
      <c r="AJ125" s="13"/>
      <c r="AK125" s="13">
        <v>172033</v>
      </c>
      <c r="AL125" s="13"/>
      <c r="AM125" s="13"/>
      <c r="AN125" s="13"/>
      <c r="AO125" s="13">
        <f t="shared" si="135"/>
        <v>589774</v>
      </c>
      <c r="AP125" s="13"/>
      <c r="AQ125" s="13"/>
      <c r="AR125" s="13"/>
      <c r="AS125" s="13"/>
      <c r="AT125" s="13"/>
      <c r="AU125" s="13">
        <f t="shared" si="143"/>
        <v>589774</v>
      </c>
      <c r="AV125" s="13"/>
      <c r="AW125" s="13">
        <v>82846</v>
      </c>
      <c r="AX125" s="13"/>
      <c r="AY125" s="13"/>
      <c r="AZ125" s="13"/>
      <c r="BA125" s="13">
        <f t="shared" si="136"/>
        <v>672620</v>
      </c>
      <c r="BB125" s="13"/>
      <c r="BC125" s="13">
        <v>308590.5</v>
      </c>
      <c r="BD125" s="13"/>
      <c r="BE125" s="13"/>
      <c r="BF125" s="13"/>
      <c r="BG125" s="13">
        <f t="shared" si="137"/>
        <v>981210.5</v>
      </c>
      <c r="BH125" s="13"/>
      <c r="BI125" s="13">
        <v>63254</v>
      </c>
      <c r="BJ125" s="13"/>
      <c r="BK125" s="13"/>
      <c r="BL125" s="13"/>
      <c r="BM125" s="13">
        <f t="shared" si="138"/>
        <v>1044464.5</v>
      </c>
      <c r="BN125" s="13"/>
      <c r="BO125" s="13">
        <v>121685</v>
      </c>
      <c r="BP125" s="13"/>
      <c r="BQ125" s="13"/>
      <c r="BR125" s="13"/>
      <c r="BS125" s="13">
        <f t="shared" si="139"/>
        <v>1166149.5</v>
      </c>
      <c r="BT125" s="13"/>
      <c r="BU125" s="13">
        <f>1381722+15500</f>
        <v>1397222</v>
      </c>
      <c r="BV125" s="13"/>
      <c r="BW125" s="13"/>
      <c r="BX125" s="13"/>
      <c r="BY125" s="13">
        <f t="shared" si="140"/>
        <v>2563371.5</v>
      </c>
      <c r="BZ125" s="13"/>
      <c r="CA125" s="13"/>
      <c r="CB125" s="13">
        <v>3315073.5</v>
      </c>
      <c r="CC125" s="13">
        <f t="shared" si="141"/>
        <v>-751702</v>
      </c>
      <c r="CD125" s="13"/>
    </row>
    <row r="126" spans="1:82" ht="15.75">
      <c r="A126" s="14" t="s">
        <v>8</v>
      </c>
      <c r="B126" s="32"/>
      <c r="C126" s="32"/>
      <c r="D126" s="32"/>
      <c r="E126" s="13"/>
      <c r="F126" s="13"/>
      <c r="G126" s="13">
        <v>85726.58</v>
      </c>
      <c r="H126" s="13"/>
      <c r="I126" s="13"/>
      <c r="J126" s="13"/>
      <c r="K126" s="13">
        <f t="shared" si="131"/>
        <v>85726.58</v>
      </c>
      <c r="L126" s="13"/>
      <c r="M126" s="13">
        <v>3646.09</v>
      </c>
      <c r="N126" s="13"/>
      <c r="O126" s="13"/>
      <c r="P126" s="13"/>
      <c r="Q126" s="13">
        <f t="shared" si="142"/>
        <v>89372.67</v>
      </c>
      <c r="R126" s="13"/>
      <c r="S126" s="13">
        <v>70989.34</v>
      </c>
      <c r="T126" s="13"/>
      <c r="U126" s="13"/>
      <c r="V126" s="13"/>
      <c r="W126" s="13">
        <f t="shared" si="132"/>
        <v>160362.01</v>
      </c>
      <c r="X126" s="13"/>
      <c r="Y126" s="13">
        <v>76029.56</v>
      </c>
      <c r="Z126" s="13"/>
      <c r="AA126" s="13"/>
      <c r="AB126" s="13"/>
      <c r="AC126" s="13">
        <f t="shared" si="133"/>
        <v>236391.57</v>
      </c>
      <c r="AD126" s="13"/>
      <c r="AE126" s="13">
        <f>73953.33+4763</f>
        <v>78716.33</v>
      </c>
      <c r="AF126" s="524"/>
      <c r="AG126" s="13"/>
      <c r="AH126" s="13"/>
      <c r="AI126" s="13">
        <f t="shared" si="134"/>
        <v>315107.9</v>
      </c>
      <c r="AJ126" s="13"/>
      <c r="AK126" s="13">
        <v>185890</v>
      </c>
      <c r="AL126" s="13"/>
      <c r="AM126" s="13"/>
      <c r="AN126" s="13"/>
      <c r="AO126" s="13">
        <f t="shared" si="135"/>
        <v>500997.9</v>
      </c>
      <c r="AP126" s="13"/>
      <c r="AQ126" s="13"/>
      <c r="AR126" s="13"/>
      <c r="AS126" s="13"/>
      <c r="AT126" s="13"/>
      <c r="AU126" s="13">
        <f t="shared" si="143"/>
        <v>500997.9</v>
      </c>
      <c r="AV126" s="13"/>
      <c r="AW126" s="13">
        <v>80384.74</v>
      </c>
      <c r="AX126" s="13"/>
      <c r="AY126" s="13"/>
      <c r="AZ126" s="13"/>
      <c r="BA126" s="13">
        <f t="shared" si="136"/>
        <v>581382.64</v>
      </c>
      <c r="BB126" s="13"/>
      <c r="BC126" s="13">
        <v>16151.31</v>
      </c>
      <c r="BD126" s="13"/>
      <c r="BE126" s="13"/>
      <c r="BF126" s="13"/>
      <c r="BG126" s="13">
        <f t="shared" si="137"/>
        <v>597533.9500000001</v>
      </c>
      <c r="BH126" s="13"/>
      <c r="BI126" s="13">
        <v>151900.46</v>
      </c>
      <c r="BJ126" s="13"/>
      <c r="BK126" s="13"/>
      <c r="BL126" s="13"/>
      <c r="BM126" s="13">
        <f t="shared" si="138"/>
        <v>749434.41</v>
      </c>
      <c r="BN126" s="13"/>
      <c r="BO126" s="13">
        <v>798</v>
      </c>
      <c r="BP126" s="13"/>
      <c r="BQ126" s="13"/>
      <c r="BR126" s="13"/>
      <c r="BS126" s="13">
        <f t="shared" si="139"/>
        <v>750232.41</v>
      </c>
      <c r="BT126" s="13"/>
      <c r="BU126" s="13">
        <v>149056.63</v>
      </c>
      <c r="BV126" s="13"/>
      <c r="BW126" s="13"/>
      <c r="BX126" s="13"/>
      <c r="BY126" s="13">
        <f t="shared" si="140"/>
        <v>899289.04</v>
      </c>
      <c r="BZ126" s="13"/>
      <c r="CA126" s="13"/>
      <c r="CB126" s="13">
        <v>869916.65</v>
      </c>
      <c r="CC126" s="13">
        <f t="shared" si="141"/>
        <v>29372.390000000014</v>
      </c>
      <c r="CD126" s="13"/>
    </row>
    <row r="127" spans="1:82" ht="15.75">
      <c r="A127" s="14" t="s">
        <v>58</v>
      </c>
      <c r="B127" s="32"/>
      <c r="C127" s="32"/>
      <c r="D127" s="32"/>
      <c r="E127" s="13"/>
      <c r="F127" s="13"/>
      <c r="G127" s="13"/>
      <c r="H127" s="13"/>
      <c r="I127" s="13"/>
      <c r="J127" s="13"/>
      <c r="K127" s="13">
        <f t="shared" si="131"/>
        <v>0</v>
      </c>
      <c r="L127" s="13"/>
      <c r="M127" s="13">
        <v>7900</v>
      </c>
      <c r="N127" s="13"/>
      <c r="O127" s="13"/>
      <c r="P127" s="13"/>
      <c r="Q127" s="13">
        <f t="shared" si="142"/>
        <v>7900</v>
      </c>
      <c r="R127" s="13"/>
      <c r="S127" s="13"/>
      <c r="T127" s="13"/>
      <c r="U127" s="13"/>
      <c r="V127" s="13"/>
      <c r="W127" s="13">
        <f t="shared" si="132"/>
        <v>7900</v>
      </c>
      <c r="X127" s="13"/>
      <c r="Y127" s="13">
        <v>85730</v>
      </c>
      <c r="Z127" s="13"/>
      <c r="AA127" s="13"/>
      <c r="AB127" s="13"/>
      <c r="AC127" s="13">
        <f t="shared" si="133"/>
        <v>93630</v>
      </c>
      <c r="AD127" s="13"/>
      <c r="AE127" s="13">
        <v>20000</v>
      </c>
      <c r="AF127" s="524"/>
      <c r="AG127" s="13"/>
      <c r="AH127" s="13"/>
      <c r="AI127" s="13">
        <f t="shared" si="134"/>
        <v>113630</v>
      </c>
      <c r="AJ127" s="13"/>
      <c r="AK127" s="13">
        <v>20550</v>
      </c>
      <c r="AL127" s="13"/>
      <c r="AM127" s="13"/>
      <c r="AN127" s="13"/>
      <c r="AO127" s="13">
        <f t="shared" si="135"/>
        <v>134180</v>
      </c>
      <c r="AP127" s="13"/>
      <c r="AQ127" s="13"/>
      <c r="AR127" s="13"/>
      <c r="AS127" s="13"/>
      <c r="AT127" s="13"/>
      <c r="AU127" s="13">
        <f t="shared" si="143"/>
        <v>134180</v>
      </c>
      <c r="AV127" s="13"/>
      <c r="AW127" s="13">
        <v>7000</v>
      </c>
      <c r="AX127" s="13"/>
      <c r="AY127" s="13"/>
      <c r="AZ127" s="13"/>
      <c r="BA127" s="13">
        <f t="shared" si="136"/>
        <v>141180</v>
      </c>
      <c r="BB127" s="13"/>
      <c r="BC127" s="13">
        <v>0</v>
      </c>
      <c r="BD127" s="13"/>
      <c r="BE127" s="13"/>
      <c r="BF127" s="13"/>
      <c r="BG127" s="13">
        <f t="shared" si="137"/>
        <v>141180</v>
      </c>
      <c r="BH127" s="13"/>
      <c r="BI127" s="13">
        <v>72000</v>
      </c>
      <c r="BJ127" s="13"/>
      <c r="BK127" s="13"/>
      <c r="BL127" s="13"/>
      <c r="BM127" s="13">
        <f t="shared" si="138"/>
        <v>213180</v>
      </c>
      <c r="BN127" s="13"/>
      <c r="BO127" s="13">
        <v>0</v>
      </c>
      <c r="BP127" s="13"/>
      <c r="BQ127" s="13"/>
      <c r="BR127" s="13"/>
      <c r="BS127" s="13">
        <f t="shared" si="139"/>
        <v>213180</v>
      </c>
      <c r="BT127" s="13"/>
      <c r="BU127" s="13">
        <v>108356</v>
      </c>
      <c r="BV127" s="13"/>
      <c r="BW127" s="13">
        <f>22530+8970+9560+54000+4200+3500</f>
        <v>102760</v>
      </c>
      <c r="BX127" s="13"/>
      <c r="BY127" s="13">
        <f t="shared" si="140"/>
        <v>424296</v>
      </c>
      <c r="BZ127" s="13"/>
      <c r="CA127" s="13"/>
      <c r="CB127" s="13">
        <v>400472</v>
      </c>
      <c r="CC127" s="13">
        <f t="shared" si="141"/>
        <v>23824</v>
      </c>
      <c r="CD127" s="13"/>
    </row>
    <row r="128" spans="1:82" ht="15.75">
      <c r="A128" s="14" t="s">
        <v>10</v>
      </c>
      <c r="B128" s="32"/>
      <c r="C128" s="32"/>
      <c r="D128" s="32"/>
      <c r="E128" s="13"/>
      <c r="F128" s="13"/>
      <c r="G128" s="13"/>
      <c r="H128" s="13"/>
      <c r="I128" s="13"/>
      <c r="J128" s="13"/>
      <c r="K128" s="13">
        <f t="shared" si="131"/>
        <v>0</v>
      </c>
      <c r="L128" s="13"/>
      <c r="M128" s="13">
        <v>98500</v>
      </c>
      <c r="N128" s="13"/>
      <c r="O128" s="13"/>
      <c r="P128" s="13"/>
      <c r="Q128" s="13">
        <f t="shared" si="142"/>
        <v>98500</v>
      </c>
      <c r="R128" s="13"/>
      <c r="S128" s="13"/>
      <c r="T128" s="13"/>
      <c r="U128" s="13"/>
      <c r="V128" s="13"/>
      <c r="W128" s="13">
        <f t="shared" si="132"/>
        <v>98500</v>
      </c>
      <c r="X128" s="13"/>
      <c r="Y128" s="13">
        <v>33700</v>
      </c>
      <c r="Z128" s="13"/>
      <c r="AA128" s="13"/>
      <c r="AB128" s="13"/>
      <c r="AC128" s="13">
        <f t="shared" si="133"/>
        <v>132200</v>
      </c>
      <c r="AD128" s="13"/>
      <c r="AE128" s="524"/>
      <c r="AF128" s="524"/>
      <c r="AG128" s="13"/>
      <c r="AH128" s="13"/>
      <c r="AI128" s="13">
        <f t="shared" si="134"/>
        <v>132200</v>
      </c>
      <c r="AJ128" s="13"/>
      <c r="AK128" s="13">
        <v>0</v>
      </c>
      <c r="AL128" s="13"/>
      <c r="AM128" s="13"/>
      <c r="AN128" s="13"/>
      <c r="AO128" s="13">
        <f t="shared" si="135"/>
        <v>132200</v>
      </c>
      <c r="AP128" s="13"/>
      <c r="AQ128" s="13"/>
      <c r="AR128" s="13"/>
      <c r="AS128" s="13"/>
      <c r="AT128" s="13"/>
      <c r="AU128" s="13">
        <f t="shared" si="143"/>
        <v>132200</v>
      </c>
      <c r="AV128" s="13"/>
      <c r="AW128" s="13">
        <v>175300</v>
      </c>
      <c r="AX128" s="13"/>
      <c r="AY128" s="13"/>
      <c r="AZ128" s="13"/>
      <c r="BA128" s="13">
        <f t="shared" si="136"/>
        <v>307500</v>
      </c>
      <c r="BB128" s="13"/>
      <c r="BC128" s="13">
        <v>0</v>
      </c>
      <c r="BD128" s="13"/>
      <c r="BE128" s="13"/>
      <c r="BF128" s="13"/>
      <c r="BG128" s="13">
        <f t="shared" si="137"/>
        <v>307500</v>
      </c>
      <c r="BH128" s="13"/>
      <c r="BI128" s="13">
        <v>95000</v>
      </c>
      <c r="BJ128" s="13"/>
      <c r="BK128" s="13"/>
      <c r="BL128" s="13"/>
      <c r="BM128" s="13">
        <f t="shared" si="138"/>
        <v>402500</v>
      </c>
      <c r="BN128" s="13"/>
      <c r="BO128" s="13">
        <v>45000</v>
      </c>
      <c r="BP128" s="13"/>
      <c r="BQ128" s="13"/>
      <c r="BR128" s="13"/>
      <c r="BS128" s="13">
        <f t="shared" si="139"/>
        <v>447500</v>
      </c>
      <c r="BT128" s="13"/>
      <c r="BU128" s="13">
        <v>97000</v>
      </c>
      <c r="BV128" s="13"/>
      <c r="BW128" s="13">
        <f>426200+194500+73400+18400+411800+89800+134900+31500+327800+71000+493700+105000+412700+91900+427700+91300+936140+195000+269700+58800+91400</f>
        <v>4952640</v>
      </c>
      <c r="BX128" s="13"/>
      <c r="BY128" s="13">
        <f t="shared" si="140"/>
        <v>5497140</v>
      </c>
      <c r="BZ128" s="13"/>
      <c r="CA128" s="13"/>
      <c r="CB128" s="13">
        <v>5461540</v>
      </c>
      <c r="CC128" s="13">
        <f t="shared" si="141"/>
        <v>35600</v>
      </c>
      <c r="CD128" s="13"/>
    </row>
    <row r="129" spans="1:82" ht="15.75">
      <c r="A129" s="14" t="s">
        <v>13</v>
      </c>
      <c r="B129" s="32"/>
      <c r="C129" s="32"/>
      <c r="D129" s="32"/>
      <c r="E129" s="13"/>
      <c r="F129" s="13"/>
      <c r="G129" s="13"/>
      <c r="H129" s="13"/>
      <c r="I129" s="13"/>
      <c r="J129" s="13"/>
      <c r="K129" s="13">
        <f t="shared" si="131"/>
        <v>0</v>
      </c>
      <c r="L129" s="13"/>
      <c r="M129" s="13">
        <v>921000</v>
      </c>
      <c r="N129" s="13"/>
      <c r="O129" s="13"/>
      <c r="P129" s="13"/>
      <c r="Q129" s="13">
        <f t="shared" si="142"/>
        <v>921000</v>
      </c>
      <c r="R129" s="13"/>
      <c r="S129" s="13">
        <v>91000</v>
      </c>
      <c r="T129" s="13"/>
      <c r="U129" s="13"/>
      <c r="V129" s="13"/>
      <c r="W129" s="13">
        <f t="shared" si="132"/>
        <v>1012000</v>
      </c>
      <c r="X129" s="13"/>
      <c r="Y129" s="13">
        <v>921000</v>
      </c>
      <c r="Z129" s="13"/>
      <c r="AA129" s="13"/>
      <c r="AB129" s="13"/>
      <c r="AC129" s="13">
        <f t="shared" si="133"/>
        <v>1933000</v>
      </c>
      <c r="AD129" s="13"/>
      <c r="AE129" s="524"/>
      <c r="AF129" s="524"/>
      <c r="AG129" s="13"/>
      <c r="AH129" s="13"/>
      <c r="AI129" s="13">
        <f t="shared" si="134"/>
        <v>1933000</v>
      </c>
      <c r="AJ129" s="13"/>
      <c r="AK129" s="13">
        <v>240000</v>
      </c>
      <c r="AL129" s="13"/>
      <c r="AM129" s="13"/>
      <c r="AN129" s="13"/>
      <c r="AO129" s="13">
        <f t="shared" si="135"/>
        <v>2173000</v>
      </c>
      <c r="AP129" s="13"/>
      <c r="AQ129" s="13"/>
      <c r="AR129" s="13"/>
      <c r="AS129" s="13"/>
      <c r="AT129" s="13"/>
      <c r="AU129" s="13">
        <f t="shared" si="143"/>
        <v>2173000</v>
      </c>
      <c r="AV129" s="13"/>
      <c r="AW129" s="13">
        <v>1099800</v>
      </c>
      <c r="AX129" s="13"/>
      <c r="AY129" s="13"/>
      <c r="AZ129" s="13"/>
      <c r="BA129" s="13">
        <f t="shared" si="136"/>
        <v>3272800</v>
      </c>
      <c r="BB129" s="13"/>
      <c r="BC129" s="13">
        <v>111000</v>
      </c>
      <c r="BD129" s="13"/>
      <c r="BE129" s="13"/>
      <c r="BF129" s="13"/>
      <c r="BG129" s="13">
        <f t="shared" si="137"/>
        <v>3383800</v>
      </c>
      <c r="BH129" s="13"/>
      <c r="BI129" s="13">
        <v>4000</v>
      </c>
      <c r="BJ129" s="13"/>
      <c r="BK129" s="13"/>
      <c r="BL129" s="13"/>
      <c r="BM129" s="13">
        <f t="shared" si="138"/>
        <v>3387800</v>
      </c>
      <c r="BN129" s="13"/>
      <c r="BO129" s="13">
        <v>4000</v>
      </c>
      <c r="BP129" s="13"/>
      <c r="BQ129" s="13"/>
      <c r="BR129" s="13"/>
      <c r="BS129" s="13">
        <f t="shared" si="139"/>
        <v>3391800</v>
      </c>
      <c r="BT129" s="13"/>
      <c r="BU129" s="13">
        <v>17000</v>
      </c>
      <c r="BV129" s="13"/>
      <c r="BW129" s="13"/>
      <c r="BX129" s="13"/>
      <c r="BY129" s="13">
        <f t="shared" si="140"/>
        <v>3408800</v>
      </c>
      <c r="BZ129" s="13"/>
      <c r="CA129" s="13"/>
      <c r="CB129" s="13">
        <v>2586600</v>
      </c>
      <c r="CC129" s="13">
        <f t="shared" si="141"/>
        <v>822200</v>
      </c>
      <c r="CD129" s="13"/>
    </row>
    <row r="130" spans="1:82" ht="15.75">
      <c r="A130" s="14" t="s">
        <v>12</v>
      </c>
      <c r="B130" s="32"/>
      <c r="C130" s="32"/>
      <c r="D130" s="32"/>
      <c r="E130" s="13"/>
      <c r="F130" s="13"/>
      <c r="G130" s="13"/>
      <c r="H130" s="13"/>
      <c r="I130" s="13"/>
      <c r="J130" s="13"/>
      <c r="K130" s="13">
        <f t="shared" si="131"/>
        <v>0</v>
      </c>
      <c r="L130" s="13"/>
      <c r="M130" s="13"/>
      <c r="N130" s="13"/>
      <c r="O130" s="13"/>
      <c r="P130" s="13"/>
      <c r="Q130" s="13">
        <f t="shared" si="142"/>
        <v>0</v>
      </c>
      <c r="R130" s="13"/>
      <c r="S130" s="13">
        <v>0</v>
      </c>
      <c r="T130" s="13"/>
      <c r="U130" s="13"/>
      <c r="V130" s="13"/>
      <c r="W130" s="13">
        <f t="shared" si="132"/>
        <v>0</v>
      </c>
      <c r="X130" s="13"/>
      <c r="Y130" s="13"/>
      <c r="Z130" s="13"/>
      <c r="AA130" s="13"/>
      <c r="AB130" s="13"/>
      <c r="AC130" s="13">
        <f t="shared" si="133"/>
        <v>0</v>
      </c>
      <c r="AD130" s="13"/>
      <c r="AE130" s="524"/>
      <c r="AF130" s="524"/>
      <c r="AG130" s="13"/>
      <c r="AH130" s="13"/>
      <c r="AI130" s="13">
        <f t="shared" si="134"/>
        <v>0</v>
      </c>
      <c r="AJ130" s="13"/>
      <c r="AK130" s="13">
        <v>0</v>
      </c>
      <c r="AL130" s="13"/>
      <c r="AM130" s="13"/>
      <c r="AN130" s="13"/>
      <c r="AO130" s="13">
        <f t="shared" si="135"/>
        <v>0</v>
      </c>
      <c r="AP130" s="13"/>
      <c r="AQ130" s="13"/>
      <c r="AR130" s="13"/>
      <c r="AS130" s="13"/>
      <c r="AT130" s="13"/>
      <c r="AU130" s="13">
        <f t="shared" si="143"/>
        <v>0</v>
      </c>
      <c r="AV130" s="13"/>
      <c r="AW130" s="13"/>
      <c r="AX130" s="13"/>
      <c r="AY130" s="13"/>
      <c r="AZ130" s="13"/>
      <c r="BA130" s="13">
        <f t="shared" si="136"/>
        <v>0</v>
      </c>
      <c r="BB130" s="13"/>
      <c r="BC130" s="13">
        <v>0</v>
      </c>
      <c r="BD130" s="13"/>
      <c r="BE130" s="13"/>
      <c r="BF130" s="13"/>
      <c r="BG130" s="13">
        <f>SUM(BA130+BC130-BD130+BE130-BF130)</f>
        <v>0</v>
      </c>
      <c r="BH130" s="13"/>
      <c r="BI130" s="13"/>
      <c r="BJ130" s="13"/>
      <c r="BK130" s="13"/>
      <c r="BL130" s="13"/>
      <c r="BM130" s="13">
        <f t="shared" si="138"/>
        <v>0</v>
      </c>
      <c r="BN130" s="13"/>
      <c r="BO130" s="13"/>
      <c r="BP130" s="13"/>
      <c r="BQ130" s="13"/>
      <c r="BR130" s="13"/>
      <c r="BS130" s="13">
        <f t="shared" si="139"/>
        <v>0</v>
      </c>
      <c r="BT130" s="13"/>
      <c r="BU130" s="13">
        <v>25000</v>
      </c>
      <c r="BV130" s="13"/>
      <c r="BW130" s="13"/>
      <c r="BX130" s="13"/>
      <c r="BY130" s="13">
        <f t="shared" si="140"/>
        <v>25000</v>
      </c>
      <c r="BZ130" s="13"/>
      <c r="CA130" s="13"/>
      <c r="CB130" s="13">
        <v>25000</v>
      </c>
      <c r="CC130" s="13">
        <f t="shared" si="141"/>
        <v>0</v>
      </c>
      <c r="CD130" s="13"/>
    </row>
    <row r="131" spans="1:82" ht="15.75" hidden="1">
      <c r="A131" s="14"/>
      <c r="B131" s="32"/>
      <c r="C131" s="32"/>
      <c r="D131" s="32"/>
      <c r="E131" s="13"/>
      <c r="F131" s="13"/>
      <c r="G131" s="13"/>
      <c r="H131" s="13"/>
      <c r="I131" s="13"/>
      <c r="J131" s="13"/>
      <c r="K131" s="13">
        <f t="shared" si="131"/>
        <v>0</v>
      </c>
      <c r="L131" s="13"/>
      <c r="M131" s="13"/>
      <c r="N131" s="13"/>
      <c r="O131" s="13"/>
      <c r="P131" s="13"/>
      <c r="Q131" s="13">
        <f t="shared" si="142"/>
        <v>0</v>
      </c>
      <c r="R131" s="13"/>
      <c r="S131" s="13"/>
      <c r="T131" s="13"/>
      <c r="U131" s="13"/>
      <c r="V131" s="13"/>
      <c r="W131" s="13">
        <f t="shared" si="132"/>
        <v>0</v>
      </c>
      <c r="X131" s="13"/>
      <c r="Y131" s="13"/>
      <c r="Z131" s="13"/>
      <c r="AA131" s="13"/>
      <c r="AB131" s="13"/>
      <c r="AC131" s="13">
        <f t="shared" si="133"/>
        <v>0</v>
      </c>
      <c r="AD131" s="13"/>
      <c r="AE131" s="524"/>
      <c r="AF131" s="524"/>
      <c r="AG131" s="13"/>
      <c r="AH131" s="13"/>
      <c r="AI131" s="13">
        <f t="shared" si="134"/>
        <v>0</v>
      </c>
      <c r="AJ131" s="13"/>
      <c r="AK131" s="13"/>
      <c r="AL131" s="13"/>
      <c r="AM131" s="13"/>
      <c r="AN131" s="13"/>
      <c r="AO131" s="13">
        <f t="shared" si="135"/>
        <v>0</v>
      </c>
      <c r="AP131" s="13"/>
      <c r="AQ131" s="13"/>
      <c r="AR131" s="13"/>
      <c r="AS131" s="13"/>
      <c r="AT131" s="13"/>
      <c r="AU131" s="13">
        <f t="shared" si="143"/>
        <v>0</v>
      </c>
      <c r="AV131" s="13"/>
      <c r="AW131" s="13"/>
      <c r="AX131" s="13"/>
      <c r="AY131" s="13"/>
      <c r="AZ131" s="13"/>
      <c r="BA131" s="13">
        <f t="shared" si="136"/>
        <v>0</v>
      </c>
      <c r="BB131" s="13"/>
      <c r="BC131" s="13"/>
      <c r="BD131" s="13"/>
      <c r="BE131" s="13"/>
      <c r="BF131" s="13"/>
      <c r="BG131" s="13">
        <f t="shared" si="137"/>
        <v>0</v>
      </c>
      <c r="BH131" s="13"/>
      <c r="BI131" s="13"/>
      <c r="BJ131" s="13"/>
      <c r="BK131" s="13"/>
      <c r="BL131" s="13"/>
      <c r="BM131" s="13">
        <f t="shared" si="138"/>
        <v>0</v>
      </c>
      <c r="BN131" s="13"/>
      <c r="BO131" s="13">
        <v>0</v>
      </c>
      <c r="BP131" s="13"/>
      <c r="BQ131" s="13"/>
      <c r="BR131" s="13"/>
      <c r="BS131" s="13">
        <f>SUM(BM131+BO131-BP131+BQ131-BR131)</f>
        <v>0</v>
      </c>
      <c r="BT131" s="13"/>
      <c r="BU131" s="13"/>
      <c r="BV131" s="13"/>
      <c r="BW131" s="13"/>
      <c r="BX131" s="13"/>
      <c r="BY131" s="13">
        <f t="shared" si="140"/>
        <v>0</v>
      </c>
      <c r="BZ131" s="13"/>
      <c r="CA131" s="13"/>
      <c r="CB131" s="13"/>
      <c r="CC131" s="13">
        <f>SUM(BW131+BY131-BZ131+CA131-CB131)</f>
        <v>0</v>
      </c>
      <c r="CD131" s="13"/>
    </row>
    <row r="132" spans="1:82" ht="15.75" hidden="1">
      <c r="A132" s="14"/>
      <c r="B132" s="32"/>
      <c r="C132" s="32"/>
      <c r="D132" s="3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524"/>
      <c r="AF132" s="524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</row>
    <row r="133" spans="1:82" ht="15.75">
      <c r="A133" s="14"/>
      <c r="B133" s="32"/>
      <c r="C133" s="32"/>
      <c r="D133" s="3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524"/>
      <c r="AF133" s="524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</row>
    <row r="134" spans="1:84" s="223" customFormat="1" ht="15.75">
      <c r="A134" s="262" t="s">
        <v>182</v>
      </c>
      <c r="B134" s="221"/>
      <c r="C134" s="221"/>
      <c r="D134" s="221"/>
      <c r="E134" s="226">
        <f aca="true" t="shared" si="144" ref="E134:AH134">SUM(E135,E141:E147)</f>
        <v>0</v>
      </c>
      <c r="F134" s="226">
        <f t="shared" si="144"/>
        <v>0</v>
      </c>
      <c r="G134" s="226">
        <f t="shared" si="144"/>
        <v>0</v>
      </c>
      <c r="H134" s="226">
        <f t="shared" si="144"/>
        <v>0</v>
      </c>
      <c r="I134" s="226">
        <f t="shared" si="144"/>
        <v>0</v>
      </c>
      <c r="J134" s="226">
        <f t="shared" si="144"/>
        <v>0</v>
      </c>
      <c r="K134" s="226">
        <f>SUM(K135,K141:K147)</f>
        <v>0</v>
      </c>
      <c r="L134" s="226">
        <f t="shared" si="144"/>
        <v>0</v>
      </c>
      <c r="M134" s="226">
        <f t="shared" si="144"/>
        <v>0</v>
      </c>
      <c r="N134" s="226">
        <f t="shared" si="144"/>
        <v>0</v>
      </c>
      <c r="O134" s="226">
        <f t="shared" si="144"/>
        <v>0</v>
      </c>
      <c r="P134" s="226">
        <f t="shared" si="144"/>
        <v>0</v>
      </c>
      <c r="Q134" s="226">
        <f t="shared" si="144"/>
        <v>0</v>
      </c>
      <c r="R134" s="226">
        <f t="shared" si="144"/>
        <v>0</v>
      </c>
      <c r="S134" s="226">
        <f t="shared" si="144"/>
        <v>146000</v>
      </c>
      <c r="T134" s="226">
        <f t="shared" si="144"/>
        <v>700</v>
      </c>
      <c r="U134" s="226">
        <f t="shared" si="144"/>
        <v>2498700</v>
      </c>
      <c r="V134" s="226">
        <f t="shared" si="144"/>
        <v>0</v>
      </c>
      <c r="W134" s="226">
        <f>SUM(W135,W141:W147)</f>
        <v>2644000</v>
      </c>
      <c r="X134" s="226">
        <f t="shared" si="144"/>
        <v>0</v>
      </c>
      <c r="Y134" s="226">
        <f>SUM(Y135,Y141:Y147)</f>
        <v>175800</v>
      </c>
      <c r="Z134" s="226">
        <f t="shared" si="144"/>
        <v>0</v>
      </c>
      <c r="AA134" s="226">
        <f>SUM(AA135,AA141:AA147)</f>
        <v>701600</v>
      </c>
      <c r="AB134" s="226">
        <f t="shared" si="144"/>
        <v>0</v>
      </c>
      <c r="AC134" s="226">
        <f t="shared" si="144"/>
        <v>3521400</v>
      </c>
      <c r="AD134" s="226">
        <f t="shared" si="144"/>
        <v>0</v>
      </c>
      <c r="AE134" s="226">
        <f>SUM(AE135,AE141:AE147)</f>
        <v>175300</v>
      </c>
      <c r="AF134" s="534">
        <f t="shared" si="144"/>
        <v>0</v>
      </c>
      <c r="AG134" s="226">
        <f t="shared" si="144"/>
        <v>895080</v>
      </c>
      <c r="AH134" s="226">
        <f t="shared" si="144"/>
        <v>0</v>
      </c>
      <c r="AI134" s="226">
        <f>SUM(AI135,AI141:AI147)</f>
        <v>4591780</v>
      </c>
      <c r="AJ134" s="226">
        <f>SUM(AJ135,AJ141:AJ147)</f>
        <v>0</v>
      </c>
      <c r="AK134" s="226">
        <f>SUM(AK135,AK141:AK147)</f>
        <v>171800</v>
      </c>
      <c r="AL134" s="226">
        <f>SUM(AL135,AL141:AL147)</f>
        <v>0</v>
      </c>
      <c r="AM134" s="226">
        <f>SUM(AM135,AM141:AM147)</f>
        <v>988540</v>
      </c>
      <c r="AN134" s="226">
        <f>SUM(AN135,AN141:AN147)</f>
        <v>0</v>
      </c>
      <c r="AO134" s="226">
        <f aca="true" t="shared" si="145" ref="AO134:BP134">SUM(AO135,AO141:AO147)</f>
        <v>5752120</v>
      </c>
      <c r="AP134" s="226">
        <f t="shared" si="145"/>
        <v>0</v>
      </c>
      <c r="AQ134" s="226">
        <f>SUM(AQ135,AQ141:AQ147)</f>
        <v>0</v>
      </c>
      <c r="AR134" s="226">
        <f>SUM(AR135,AR141:AR147)</f>
        <v>0</v>
      </c>
      <c r="AS134" s="226">
        <f>SUM(AS135,AS141:AS147)</f>
        <v>0</v>
      </c>
      <c r="AT134" s="226">
        <f t="shared" si="145"/>
        <v>0</v>
      </c>
      <c r="AU134" s="226">
        <f>SUM(AU135,AU141:AU147)</f>
        <v>5752120</v>
      </c>
      <c r="AV134" s="226">
        <f t="shared" si="145"/>
        <v>0</v>
      </c>
      <c r="AW134" s="226">
        <f>SUM(AW135,AW141:AW147)</f>
        <v>51514.02</v>
      </c>
      <c r="AX134" s="226">
        <f>SUM(AX135,AX141:AX147)</f>
        <v>0</v>
      </c>
      <c r="AY134" s="226">
        <f>SUM(AY135,AY141:AY147)</f>
        <v>400520</v>
      </c>
      <c r="AZ134" s="226">
        <f>SUM(AZ135,AZ141:AZ147)</f>
        <v>0</v>
      </c>
      <c r="BA134" s="226">
        <f t="shared" si="145"/>
        <v>6204154.02</v>
      </c>
      <c r="BB134" s="226">
        <f t="shared" si="145"/>
        <v>0</v>
      </c>
      <c r="BC134" s="226">
        <f t="shared" si="145"/>
        <v>888894</v>
      </c>
      <c r="BD134" s="226">
        <f t="shared" si="145"/>
        <v>0</v>
      </c>
      <c r="BE134" s="226">
        <f t="shared" si="145"/>
        <v>6400</v>
      </c>
      <c r="BF134" s="226">
        <f>SUM(BF135,BF141:BF147)</f>
        <v>0</v>
      </c>
      <c r="BG134" s="226">
        <f>SUM(BG135,BG141:BG147)</f>
        <v>7099448.02</v>
      </c>
      <c r="BH134" s="226">
        <f>SUM(BH135,BH141:BH147)</f>
        <v>0</v>
      </c>
      <c r="BI134" s="226">
        <f t="shared" si="145"/>
        <v>688327</v>
      </c>
      <c r="BJ134" s="226">
        <f t="shared" si="145"/>
        <v>700</v>
      </c>
      <c r="BK134" s="226">
        <f t="shared" si="145"/>
        <v>751700</v>
      </c>
      <c r="BL134" s="226">
        <f t="shared" si="145"/>
        <v>0</v>
      </c>
      <c r="BM134" s="226">
        <f t="shared" si="145"/>
        <v>8538775.02</v>
      </c>
      <c r="BN134" s="226">
        <f t="shared" si="145"/>
        <v>0</v>
      </c>
      <c r="BO134" s="226">
        <f t="shared" si="145"/>
        <v>1440</v>
      </c>
      <c r="BP134" s="226">
        <f t="shared" si="145"/>
        <v>0</v>
      </c>
      <c r="BQ134" s="226">
        <f>SUM(BQ135,BQ141:BQ147)</f>
        <v>761200</v>
      </c>
      <c r="BR134" s="226">
        <f>SUM(BR135,BR141:BR147)</f>
        <v>0</v>
      </c>
      <c r="BS134" s="226">
        <f>SUM(BS135,BS141:BS147)</f>
        <v>9301415.02</v>
      </c>
      <c r="BT134" s="226">
        <f>SUM(BT135,BT141:BT147)</f>
        <v>0</v>
      </c>
      <c r="BU134" s="226">
        <f>SUM(BU135,BU141:BU147)</f>
        <v>276980</v>
      </c>
      <c r="BV134" s="226">
        <f>SUM(BV135,BV141:BV147)</f>
        <v>0</v>
      </c>
      <c r="BW134" s="226">
        <f>SUM(BW135,BW141:BW147)</f>
        <v>865014.02</v>
      </c>
      <c r="BX134" s="226">
        <f>SUM(BX135,BX141:BX147)</f>
        <v>106108.01999999999</v>
      </c>
      <c r="BY134" s="226">
        <f>SUM(BY135,BY141:BY147)</f>
        <v>10337301.02</v>
      </c>
      <c r="BZ134" s="226">
        <f>SUM(BZ135,BZ141:BZ146)</f>
        <v>0</v>
      </c>
      <c r="CA134" s="226">
        <f>SUM(CA135,CA141:CA147)</f>
        <v>0</v>
      </c>
      <c r="CB134" s="226">
        <f>SUM(CB135,CB141:CB147)</f>
        <v>11726359.02</v>
      </c>
      <c r="CC134" s="226">
        <f>SUM(CC135,CC141:CC147)</f>
        <v>-1389058</v>
      </c>
      <c r="CD134" s="226">
        <f>SUM(CD135,CD141:CD147)</f>
        <v>0</v>
      </c>
      <c r="CE134" s="224"/>
      <c r="CF134" s="224"/>
    </row>
    <row r="135" spans="1:84" s="35" customFormat="1" ht="15.75">
      <c r="A135" s="9" t="s">
        <v>327</v>
      </c>
      <c r="B135" s="37"/>
      <c r="C135" s="37"/>
      <c r="D135" s="37"/>
      <c r="E135" s="10">
        <f>SUM(E136:E140)</f>
        <v>0</v>
      </c>
      <c r="F135" s="10">
        <f>SUM(F136:F140)</f>
        <v>0</v>
      </c>
      <c r="G135" s="10">
        <f>SUM(G136:G140)</f>
        <v>0</v>
      </c>
      <c r="H135" s="10">
        <f>SUM(H136:H140)</f>
        <v>0</v>
      </c>
      <c r="I135" s="10">
        <f>SUM(I136:I140)</f>
        <v>0</v>
      </c>
      <c r="J135" s="10">
        <f>SUM(J136:J140)</f>
        <v>0</v>
      </c>
      <c r="K135" s="10">
        <f>SUM(K136:K140)</f>
        <v>0</v>
      </c>
      <c r="L135" s="10">
        <f>SUM(L136:L140)</f>
        <v>0</v>
      </c>
      <c r="M135" s="10">
        <f>SUM(M136:M140)</f>
        <v>0</v>
      </c>
      <c r="N135" s="10">
        <f>SUM(N136:N140)</f>
        <v>0</v>
      </c>
      <c r="O135" s="10">
        <f>SUM(O136:O140)</f>
        <v>0</v>
      </c>
      <c r="P135" s="10">
        <f>SUM(P136:P140)</f>
        <v>0</v>
      </c>
      <c r="Q135" s="10">
        <f>SUM(Q136:Q140)</f>
        <v>0</v>
      </c>
      <c r="R135" s="10">
        <f>SUM(R136:R140)</f>
        <v>0</v>
      </c>
      <c r="S135" s="10">
        <f>SUM(S136:S140)</f>
        <v>146000</v>
      </c>
      <c r="T135" s="10">
        <f>SUM(T136:T140)</f>
        <v>700</v>
      </c>
      <c r="U135" s="10">
        <f>SUM(U136:U140)</f>
        <v>2498700</v>
      </c>
      <c r="V135" s="10">
        <f>SUM(V136:V140)</f>
        <v>0</v>
      </c>
      <c r="W135" s="10">
        <f>SUM(W136:W140)</f>
        <v>2644000</v>
      </c>
      <c r="X135" s="10">
        <f>SUM(X136:X140)</f>
        <v>0</v>
      </c>
      <c r="Y135" s="10">
        <f>SUM(Y136:Y140)</f>
        <v>175800</v>
      </c>
      <c r="Z135" s="10">
        <f>SUM(Z136:Z140)</f>
        <v>0</v>
      </c>
      <c r="AA135" s="10">
        <f>SUM(AA136:AA140)</f>
        <v>701600</v>
      </c>
      <c r="AB135" s="10">
        <f>SUM(AB136:AB140)</f>
        <v>0</v>
      </c>
      <c r="AC135" s="10">
        <f>SUM(AC136:AC140)</f>
        <v>3521400</v>
      </c>
      <c r="AD135" s="10">
        <f>SUM(AD136:AD140)</f>
        <v>0</v>
      </c>
      <c r="AE135" s="10">
        <f>SUM(AE136:AE140)</f>
        <v>175300</v>
      </c>
      <c r="AF135" s="525">
        <f>SUM(AF136:AF140)</f>
        <v>0</v>
      </c>
      <c r="AG135" s="10">
        <f>SUM(AG136:AG140)</f>
        <v>703080</v>
      </c>
      <c r="AH135" s="10">
        <f>SUM(AH136:AH140)</f>
        <v>0</v>
      </c>
      <c r="AI135" s="10">
        <f>SUM(AI136:AI140)</f>
        <v>4399780</v>
      </c>
      <c r="AJ135" s="10">
        <f aca="true" t="shared" si="146" ref="AJ135:AQ135">SUM(AJ136:AJ140)</f>
        <v>0</v>
      </c>
      <c r="AK135" s="10">
        <f>SUM(AK136:AK140)</f>
        <v>171800</v>
      </c>
      <c r="AL135" s="10">
        <f t="shared" si="146"/>
        <v>0</v>
      </c>
      <c r="AM135" s="10">
        <f t="shared" si="146"/>
        <v>700540</v>
      </c>
      <c r="AN135" s="10">
        <f t="shared" si="146"/>
        <v>0</v>
      </c>
      <c r="AO135" s="10">
        <f t="shared" si="146"/>
        <v>5272120</v>
      </c>
      <c r="AP135" s="10">
        <f t="shared" si="146"/>
        <v>0</v>
      </c>
      <c r="AQ135" s="10">
        <f t="shared" si="146"/>
        <v>0</v>
      </c>
      <c r="AR135" s="10">
        <f>SUM(AR136:AR140)</f>
        <v>0</v>
      </c>
      <c r="AS135" s="10">
        <f>SUM(AS136:AS140)</f>
        <v>0</v>
      </c>
      <c r="AT135" s="10">
        <f>SUM(AT136:AT140)</f>
        <v>0</v>
      </c>
      <c r="AU135" s="10">
        <f>SUM(AU136:AU140)</f>
        <v>5272120</v>
      </c>
      <c r="AV135" s="10">
        <f>SUM(AV136:AV140)</f>
        <v>0</v>
      </c>
      <c r="AW135" s="10">
        <f>SUM(AW136:AW140)</f>
        <v>0</v>
      </c>
      <c r="AX135" s="10">
        <f>SUM(AX136:AX140)</f>
        <v>0</v>
      </c>
      <c r="AY135" s="10">
        <f>SUM(AY136:AY140)</f>
        <v>171440</v>
      </c>
      <c r="AZ135" s="10">
        <f>SUM(AZ136:AZ140)</f>
        <v>0</v>
      </c>
      <c r="BA135" s="10">
        <f>SUM(BA136:BA140)</f>
        <v>5443560</v>
      </c>
      <c r="BB135" s="10">
        <f>SUM(BB136:BB140)</f>
        <v>0</v>
      </c>
      <c r="BC135" s="10">
        <f>SUM(BC136:BC140)</f>
        <v>843480</v>
      </c>
      <c r="BD135" s="10">
        <f>SUM(BD136:BD140)</f>
        <v>0</v>
      </c>
      <c r="BE135" s="10">
        <f>SUM(BE136:BE140)</f>
        <v>0</v>
      </c>
      <c r="BF135" s="10">
        <f>SUM(BF136:BF140)</f>
        <v>0</v>
      </c>
      <c r="BG135" s="10">
        <f aca="true" t="shared" si="147" ref="BG135:BM135">SUM(BG136:BG140)</f>
        <v>6287040</v>
      </c>
      <c r="BH135" s="10">
        <f t="shared" si="147"/>
        <v>0</v>
      </c>
      <c r="BI135" s="10">
        <f t="shared" si="147"/>
        <v>350280</v>
      </c>
      <c r="BJ135" s="10">
        <f t="shared" si="147"/>
        <v>700</v>
      </c>
      <c r="BK135" s="10">
        <f t="shared" si="147"/>
        <v>664700</v>
      </c>
      <c r="BL135" s="10">
        <f t="shared" si="147"/>
        <v>0</v>
      </c>
      <c r="BM135" s="10">
        <f t="shared" si="147"/>
        <v>7301320</v>
      </c>
      <c r="BN135" s="10">
        <f>SUM(BN136:BN140)</f>
        <v>0</v>
      </c>
      <c r="BO135" s="10">
        <f aca="true" t="shared" si="148" ref="BO135:BT135">SUM(BO136:BO140)</f>
        <v>1440</v>
      </c>
      <c r="BP135" s="10">
        <f t="shared" si="148"/>
        <v>0</v>
      </c>
      <c r="BQ135" s="10">
        <f t="shared" si="148"/>
        <v>665200</v>
      </c>
      <c r="BR135" s="10">
        <f t="shared" si="148"/>
        <v>0</v>
      </c>
      <c r="BS135" s="10">
        <f t="shared" si="148"/>
        <v>7967960</v>
      </c>
      <c r="BT135" s="10">
        <f t="shared" si="148"/>
        <v>0</v>
      </c>
      <c r="BU135" s="10">
        <f>SUM(BU136:BU140)</f>
        <v>195480</v>
      </c>
      <c r="BV135" s="10">
        <f aca="true" t="shared" si="149" ref="BV135:CD135">SUM(BV136:BV140)</f>
        <v>0</v>
      </c>
      <c r="BW135" s="10">
        <f>SUM(BW136:BW140)</f>
        <v>717500</v>
      </c>
      <c r="BX135" s="10">
        <f t="shared" si="149"/>
        <v>53500</v>
      </c>
      <c r="BY135" s="10">
        <f>SUM(BY136:BY140)</f>
        <v>8827440</v>
      </c>
      <c r="BZ135" s="10">
        <f t="shared" si="149"/>
        <v>0</v>
      </c>
      <c r="CA135" s="10">
        <f>SUM(CA136:CA140)</f>
        <v>0</v>
      </c>
      <c r="CB135" s="10">
        <f>SUM(CB136:CB140)</f>
        <v>10210200</v>
      </c>
      <c r="CC135" s="10">
        <f>SUM(CC136:CC140)</f>
        <v>-1382760</v>
      </c>
      <c r="CD135" s="10">
        <f t="shared" si="149"/>
        <v>0</v>
      </c>
      <c r="CE135" s="148"/>
      <c r="CF135" s="148"/>
    </row>
    <row r="136" spans="1:82" ht="15.75">
      <c r="A136" s="40"/>
      <c r="B136" s="41" t="s">
        <v>356</v>
      </c>
      <c r="C136" s="41"/>
      <c r="D136" s="41"/>
      <c r="E136" s="42"/>
      <c r="F136" s="42"/>
      <c r="G136" s="42"/>
      <c r="H136" s="42"/>
      <c r="I136" s="42"/>
      <c r="J136" s="42"/>
      <c r="K136" s="42">
        <f>SUM(E136+G136-H136+I136-J136)</f>
        <v>0</v>
      </c>
      <c r="L136" s="42"/>
      <c r="M136" s="42"/>
      <c r="N136" s="42"/>
      <c r="O136" s="42"/>
      <c r="P136" s="42"/>
      <c r="Q136" s="42">
        <f>SUM(K136+M136-N136+O136-P136)</f>
        <v>0</v>
      </c>
      <c r="R136" s="42"/>
      <c r="S136" s="42">
        <v>146000</v>
      </c>
      <c r="T136" s="42">
        <v>700</v>
      </c>
      <c r="U136" s="42">
        <f>796900+794400+646400</f>
        <v>2237700</v>
      </c>
      <c r="V136" s="42"/>
      <c r="W136" s="42">
        <f aca="true" t="shared" si="150" ref="W136:W147">SUM(Q136+S136-T136+U136-V136)</f>
        <v>2383000</v>
      </c>
      <c r="X136" s="42"/>
      <c r="Y136" s="42">
        <v>145300</v>
      </c>
      <c r="Z136" s="42"/>
      <c r="AA136" s="42">
        <v>645600</v>
      </c>
      <c r="AB136" s="42"/>
      <c r="AC136" s="42">
        <f>SUM(W136+Y136-Z136+AA136-AB136)</f>
        <v>3173900</v>
      </c>
      <c r="AD136" s="42"/>
      <c r="AE136" s="42">
        <v>143500</v>
      </c>
      <c r="AF136" s="526"/>
      <c r="AG136" s="42">
        <v>643700</v>
      </c>
      <c r="AH136" s="42"/>
      <c r="AI136" s="42">
        <f>SUM(AC136+AE136-AF136+AG136-AH136)</f>
        <v>3961100</v>
      </c>
      <c r="AJ136" s="42"/>
      <c r="AK136" s="42">
        <v>140000</v>
      </c>
      <c r="AL136" s="42"/>
      <c r="AM136" s="42">
        <v>643100</v>
      </c>
      <c r="AN136" s="42"/>
      <c r="AO136" s="42">
        <f aca="true" t="shared" si="151" ref="AO136:AO145">SUM(AI136+AK136-AL136+AM136-AN136)</f>
        <v>4744200</v>
      </c>
      <c r="AP136" s="42"/>
      <c r="AQ136" s="42"/>
      <c r="AR136" s="42"/>
      <c r="AS136" s="42"/>
      <c r="AT136" s="42"/>
      <c r="AU136" s="42">
        <f aca="true" t="shared" si="152" ref="AU136:AU145">SUM(AO136+AQ136-AR136+AS136-AT136)</f>
        <v>4744200</v>
      </c>
      <c r="AV136" s="42"/>
      <c r="AW136" s="42"/>
      <c r="AX136" s="42"/>
      <c r="AY136" s="42"/>
      <c r="AZ136" s="42"/>
      <c r="BA136" s="42">
        <f aca="true" t="shared" si="153" ref="BA136:BA146">SUM(AU136+AW136-AX136+AY136-AZ136)</f>
        <v>4744200</v>
      </c>
      <c r="BB136" s="42"/>
      <c r="BC136" s="42">
        <v>757400</v>
      </c>
      <c r="BD136" s="42"/>
      <c r="BE136" s="42"/>
      <c r="BF136" s="42"/>
      <c r="BG136" s="42">
        <f aca="true" t="shared" si="154" ref="BG136:BG145">SUM(BA136+BC136-BD136+BE136-BF136)</f>
        <v>5501600</v>
      </c>
      <c r="BH136" s="42"/>
      <c r="BI136" s="42">
        <v>286200</v>
      </c>
      <c r="BJ136" s="42">
        <v>700</v>
      </c>
      <c r="BK136" s="42">
        <v>611200</v>
      </c>
      <c r="BL136" s="42"/>
      <c r="BM136" s="42">
        <f>SUM(BG136+BI136-BJ136+BK136-BL136)</f>
        <v>6398300</v>
      </c>
      <c r="BN136" s="42"/>
      <c r="BO136" s="42"/>
      <c r="BP136" s="42"/>
      <c r="BQ136" s="42">
        <v>665200</v>
      </c>
      <c r="BR136" s="42"/>
      <c r="BS136" s="42">
        <f aca="true" t="shared" si="155" ref="BS136:BS145">SUM(BM136+BO136-BP136+BQ136-BR136)</f>
        <v>7063500</v>
      </c>
      <c r="BT136" s="42"/>
      <c r="BU136" s="42">
        <v>141600</v>
      </c>
      <c r="BV136" s="42"/>
      <c r="BW136" s="42">
        <v>610000</v>
      </c>
      <c r="BX136" s="42">
        <v>53500</v>
      </c>
      <c r="BY136" s="42">
        <f aca="true" t="shared" si="156" ref="BY136:BY147">SUM(BS136+BU136-BV136+BW136-BX136)</f>
        <v>7761600</v>
      </c>
      <c r="BZ136" s="42"/>
      <c r="CA136" s="42"/>
      <c r="CB136" s="42">
        <v>9147200</v>
      </c>
      <c r="CC136" s="15">
        <f>+BY136+CA136-BZ136-CB136</f>
        <v>-1385600</v>
      </c>
      <c r="CD136" s="42"/>
    </row>
    <row r="137" spans="1:82" ht="15.75">
      <c r="A137" s="43"/>
      <c r="B137" s="44" t="s">
        <v>128</v>
      </c>
      <c r="C137" s="44"/>
      <c r="D137" s="44"/>
      <c r="E137" s="45"/>
      <c r="F137" s="45"/>
      <c r="G137" s="45"/>
      <c r="H137" s="45"/>
      <c r="I137" s="45"/>
      <c r="J137" s="45"/>
      <c r="K137" s="45">
        <f>SUM(E137+G137-H137+I137-J137)</f>
        <v>0</v>
      </c>
      <c r="L137" s="45"/>
      <c r="M137" s="45"/>
      <c r="N137" s="45"/>
      <c r="O137" s="45"/>
      <c r="P137" s="45"/>
      <c r="Q137" s="45">
        <f>SUM(K137+M137-N137+O137-P137)</f>
        <v>0</v>
      </c>
      <c r="R137" s="45"/>
      <c r="S137" s="45"/>
      <c r="T137" s="45"/>
      <c r="U137" s="45">
        <f>87000+87000+87000</f>
        <v>261000</v>
      </c>
      <c r="V137" s="45"/>
      <c r="W137" s="45">
        <f t="shared" si="150"/>
        <v>261000</v>
      </c>
      <c r="X137" s="45"/>
      <c r="Y137" s="45">
        <v>30500</v>
      </c>
      <c r="Z137" s="45"/>
      <c r="AA137" s="45">
        <v>56000</v>
      </c>
      <c r="AB137" s="45"/>
      <c r="AC137" s="45">
        <f aca="true" t="shared" si="157" ref="AC137:AC147">SUM(W137+Y137-Z137+AA137-AB137)</f>
        <v>347500</v>
      </c>
      <c r="AD137" s="45"/>
      <c r="AE137" s="45">
        <v>30000</v>
      </c>
      <c r="AF137" s="527"/>
      <c r="AG137" s="45">
        <v>56500</v>
      </c>
      <c r="AH137" s="45"/>
      <c r="AI137" s="45">
        <f>SUM(AC137+AE137-AF137+AG137-AH137)</f>
        <v>434000</v>
      </c>
      <c r="AJ137" s="45"/>
      <c r="AK137" s="45">
        <v>30000</v>
      </c>
      <c r="AL137" s="45"/>
      <c r="AM137" s="45">
        <v>56000</v>
      </c>
      <c r="AN137" s="45"/>
      <c r="AO137" s="45">
        <f t="shared" si="151"/>
        <v>520000</v>
      </c>
      <c r="AP137" s="45"/>
      <c r="AQ137" s="45"/>
      <c r="AR137" s="45"/>
      <c r="AS137" s="45"/>
      <c r="AT137" s="45"/>
      <c r="AU137" s="45">
        <f t="shared" si="152"/>
        <v>520000</v>
      </c>
      <c r="AV137" s="45"/>
      <c r="AW137" s="45"/>
      <c r="AX137" s="45"/>
      <c r="AY137" s="45">
        <f>85000+85000</f>
        <v>170000</v>
      </c>
      <c r="AZ137" s="45"/>
      <c r="BA137" s="45">
        <f t="shared" si="153"/>
        <v>690000</v>
      </c>
      <c r="BB137" s="45"/>
      <c r="BC137" s="45">
        <v>85000</v>
      </c>
      <c r="BD137" s="45"/>
      <c r="BE137" s="45"/>
      <c r="BF137" s="45"/>
      <c r="BG137" s="45">
        <f t="shared" si="154"/>
        <v>775000</v>
      </c>
      <c r="BH137" s="45"/>
      <c r="BI137" s="45">
        <v>63000</v>
      </c>
      <c r="BJ137" s="45"/>
      <c r="BK137" s="45">
        <v>53500</v>
      </c>
      <c r="BL137" s="45"/>
      <c r="BM137" s="45">
        <f>SUM(BG137+BI137-BJ137+BK137-BL137)</f>
        <v>891500</v>
      </c>
      <c r="BN137" s="45"/>
      <c r="BO137" s="45"/>
      <c r="BP137" s="45"/>
      <c r="BQ137" s="45"/>
      <c r="BR137" s="45"/>
      <c r="BS137" s="45">
        <f t="shared" si="155"/>
        <v>891500</v>
      </c>
      <c r="BT137" s="45"/>
      <c r="BU137" s="45">
        <v>31000</v>
      </c>
      <c r="BV137" s="45"/>
      <c r="BW137" s="45">
        <f>54000+53500</f>
        <v>107500</v>
      </c>
      <c r="BX137" s="45"/>
      <c r="BY137" s="45">
        <f t="shared" si="156"/>
        <v>1030000</v>
      </c>
      <c r="BZ137" s="45"/>
      <c r="CA137" s="45"/>
      <c r="CB137" s="45">
        <v>1025000</v>
      </c>
      <c r="CC137" s="45">
        <f aca="true" t="shared" si="158" ref="CC137:CC147">+BY137+CA137-BZ137-CB137</f>
        <v>5000</v>
      </c>
      <c r="CD137" s="45"/>
    </row>
    <row r="138" spans="1:82" ht="15.75">
      <c r="A138" s="81"/>
      <c r="B138" s="82" t="s">
        <v>131</v>
      </c>
      <c r="C138" s="82"/>
      <c r="D138" s="82"/>
      <c r="E138" s="63"/>
      <c r="F138" s="63"/>
      <c r="G138" s="63"/>
      <c r="H138" s="63"/>
      <c r="I138" s="63"/>
      <c r="J138" s="63"/>
      <c r="K138" s="63">
        <f>SUM(E138+G138-H138+I138-J138)</f>
        <v>0</v>
      </c>
      <c r="L138" s="63"/>
      <c r="M138" s="63"/>
      <c r="N138" s="63"/>
      <c r="O138" s="63"/>
      <c r="P138" s="63"/>
      <c r="Q138" s="63">
        <f>SUM(K138+M138-N138+O138-P138)</f>
        <v>0</v>
      </c>
      <c r="R138" s="63"/>
      <c r="S138" s="63"/>
      <c r="T138" s="63"/>
      <c r="U138" s="63"/>
      <c r="V138" s="63"/>
      <c r="W138" s="63">
        <f t="shared" si="150"/>
        <v>0</v>
      </c>
      <c r="X138" s="63"/>
      <c r="Y138" s="63"/>
      <c r="Z138" s="63"/>
      <c r="AA138" s="63"/>
      <c r="AB138" s="63"/>
      <c r="AC138" s="63">
        <f t="shared" si="157"/>
        <v>0</v>
      </c>
      <c r="AD138" s="63"/>
      <c r="AE138" s="63">
        <v>1800</v>
      </c>
      <c r="AF138" s="533"/>
      <c r="AG138" s="115">
        <f>1440+1440</f>
        <v>2880</v>
      </c>
      <c r="AH138" s="63"/>
      <c r="AI138" s="63">
        <f>SUM(AC138+AE138-AF138+AG138-AH138)</f>
        <v>4680</v>
      </c>
      <c r="AJ138" s="63"/>
      <c r="AK138" s="63">
        <v>1800</v>
      </c>
      <c r="AL138" s="63"/>
      <c r="AM138" s="63">
        <v>1440</v>
      </c>
      <c r="AN138" s="63"/>
      <c r="AO138" s="63">
        <f t="shared" si="151"/>
        <v>7920</v>
      </c>
      <c r="AP138" s="63"/>
      <c r="AQ138" s="63"/>
      <c r="AR138" s="63"/>
      <c r="AS138" s="63"/>
      <c r="AT138" s="63"/>
      <c r="AU138" s="63">
        <f t="shared" si="152"/>
        <v>7920</v>
      </c>
      <c r="AV138" s="63"/>
      <c r="AW138" s="63"/>
      <c r="AX138" s="63"/>
      <c r="AY138" s="63">
        <v>1440</v>
      </c>
      <c r="AZ138" s="63"/>
      <c r="BA138" s="63">
        <f t="shared" si="153"/>
        <v>9360</v>
      </c>
      <c r="BB138" s="63"/>
      <c r="BC138" s="63">
        <v>1080</v>
      </c>
      <c r="BD138" s="63"/>
      <c r="BE138" s="63"/>
      <c r="BF138" s="63"/>
      <c r="BG138" s="63">
        <f t="shared" si="154"/>
        <v>10440</v>
      </c>
      <c r="BH138" s="63"/>
      <c r="BI138" s="63">
        <v>1080</v>
      </c>
      <c r="BJ138" s="63"/>
      <c r="BK138" s="63"/>
      <c r="BL138" s="63"/>
      <c r="BM138" s="45">
        <f>SUM(BG138+BI138-BJ138+BK138-BL138)</f>
        <v>11520</v>
      </c>
      <c r="BN138" s="63"/>
      <c r="BO138" s="63">
        <v>1440</v>
      </c>
      <c r="BP138" s="63"/>
      <c r="BQ138" s="63"/>
      <c r="BR138" s="63"/>
      <c r="BS138" s="63">
        <f t="shared" si="155"/>
        <v>12960</v>
      </c>
      <c r="BT138" s="63"/>
      <c r="BU138" s="63">
        <v>2880</v>
      </c>
      <c r="BV138" s="63"/>
      <c r="BW138" s="63"/>
      <c r="BX138" s="63"/>
      <c r="BY138" s="63">
        <f t="shared" si="156"/>
        <v>15840</v>
      </c>
      <c r="BZ138" s="63"/>
      <c r="CA138" s="63"/>
      <c r="CB138" s="63">
        <v>18000</v>
      </c>
      <c r="CC138" s="45">
        <f>+BY138+CA138-BZ138-CB138</f>
        <v>-2160</v>
      </c>
      <c r="CD138" s="63"/>
    </row>
    <row r="139" spans="1:85" ht="15.75">
      <c r="A139" s="43"/>
      <c r="B139" s="44" t="s">
        <v>498</v>
      </c>
      <c r="C139" s="44"/>
      <c r="D139" s="44"/>
      <c r="E139" s="45"/>
      <c r="F139" s="45"/>
      <c r="G139" s="45"/>
      <c r="H139" s="45"/>
      <c r="I139" s="45"/>
      <c r="J139" s="45"/>
      <c r="K139" s="63">
        <f>SUM(E139+G139-H139+I139-J139)</f>
        <v>0</v>
      </c>
      <c r="L139" s="45"/>
      <c r="M139" s="45"/>
      <c r="N139" s="45"/>
      <c r="O139" s="45"/>
      <c r="P139" s="45"/>
      <c r="Q139" s="63">
        <f>SUM(K139+M139-N139+O139-P139)</f>
        <v>0</v>
      </c>
      <c r="R139" s="45"/>
      <c r="S139" s="45"/>
      <c r="T139" s="45"/>
      <c r="U139" s="45"/>
      <c r="V139" s="45"/>
      <c r="W139" s="63">
        <f t="shared" si="150"/>
        <v>0</v>
      </c>
      <c r="X139" s="45"/>
      <c r="Y139" s="45"/>
      <c r="Z139" s="45"/>
      <c r="AA139" s="45"/>
      <c r="AB139" s="45"/>
      <c r="AC139" s="63">
        <f t="shared" si="157"/>
        <v>0</v>
      </c>
      <c r="AD139" s="45"/>
      <c r="AE139" s="527"/>
      <c r="AF139" s="527"/>
      <c r="AG139" s="110"/>
      <c r="AH139" s="45"/>
      <c r="AI139" s="63">
        <f aca="true" t="shared" si="159" ref="AI139:AI145">SUM(AC139+AE139-AF139+AG139-AH139)</f>
        <v>0</v>
      </c>
      <c r="AJ139" s="45"/>
      <c r="AK139" s="45"/>
      <c r="AL139" s="45"/>
      <c r="AM139" s="45"/>
      <c r="AN139" s="45"/>
      <c r="AO139" s="63">
        <f t="shared" si="151"/>
        <v>0</v>
      </c>
      <c r="AP139" s="45"/>
      <c r="AQ139" s="45"/>
      <c r="AR139" s="45"/>
      <c r="AS139" s="45"/>
      <c r="AT139" s="45"/>
      <c r="AU139" s="63">
        <f t="shared" si="152"/>
        <v>0</v>
      </c>
      <c r="AV139" s="45"/>
      <c r="AW139" s="45"/>
      <c r="AX139" s="45"/>
      <c r="AY139" s="45"/>
      <c r="AZ139" s="45"/>
      <c r="BA139" s="63">
        <f t="shared" si="153"/>
        <v>0</v>
      </c>
      <c r="BB139" s="45"/>
      <c r="BC139" s="45"/>
      <c r="BD139" s="45"/>
      <c r="BE139" s="45"/>
      <c r="BF139" s="45"/>
      <c r="BG139" s="63">
        <f t="shared" si="154"/>
        <v>0</v>
      </c>
      <c r="BH139" s="45"/>
      <c r="BI139" s="45">
        <v>0</v>
      </c>
      <c r="BJ139" s="45"/>
      <c r="BK139" s="45"/>
      <c r="BL139" s="45"/>
      <c r="BM139" s="45">
        <f>SUM(BG139+BI139-BJ139+BK139-BL139)</f>
        <v>0</v>
      </c>
      <c r="BN139" s="45"/>
      <c r="BO139" s="45"/>
      <c r="BP139" s="45"/>
      <c r="BQ139" s="45"/>
      <c r="BR139" s="45"/>
      <c r="BS139" s="63">
        <f t="shared" si="155"/>
        <v>0</v>
      </c>
      <c r="BT139" s="45"/>
      <c r="BU139" s="45">
        <v>20000</v>
      </c>
      <c r="BV139" s="45"/>
      <c r="BW139" s="45"/>
      <c r="BX139" s="45"/>
      <c r="BY139" s="63">
        <f t="shared" si="156"/>
        <v>20000</v>
      </c>
      <c r="BZ139" s="45"/>
      <c r="CA139" s="45"/>
      <c r="CB139" s="45">
        <v>20000</v>
      </c>
      <c r="CC139" s="45">
        <f t="shared" si="158"/>
        <v>0</v>
      </c>
      <c r="CD139" s="45"/>
      <c r="CG139" s="7">
        <f>6693005.09+3859500+432500</f>
        <v>10985005.09</v>
      </c>
    </row>
    <row r="140" spans="1:82" ht="15.75">
      <c r="A140" s="46"/>
      <c r="B140" s="47"/>
      <c r="C140" s="47"/>
      <c r="D140" s="47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63">
        <f t="shared" si="150"/>
        <v>0</v>
      </c>
      <c r="X140" s="48"/>
      <c r="Y140" s="48"/>
      <c r="Z140" s="48"/>
      <c r="AA140" s="48"/>
      <c r="AB140" s="48"/>
      <c r="AC140" s="63">
        <f t="shared" si="157"/>
        <v>0</v>
      </c>
      <c r="AD140" s="48"/>
      <c r="AE140" s="528"/>
      <c r="AF140" s="528"/>
      <c r="AG140" s="111"/>
      <c r="AH140" s="48"/>
      <c r="AI140" s="63">
        <f t="shared" si="159"/>
        <v>0</v>
      </c>
      <c r="AJ140" s="48"/>
      <c r="AK140" s="48"/>
      <c r="AL140" s="48"/>
      <c r="AM140" s="48"/>
      <c r="AN140" s="48"/>
      <c r="AO140" s="63">
        <f t="shared" si="151"/>
        <v>0</v>
      </c>
      <c r="AP140" s="48"/>
      <c r="AQ140" s="48"/>
      <c r="AR140" s="48"/>
      <c r="AS140" s="48"/>
      <c r="AT140" s="48"/>
      <c r="AU140" s="63">
        <f t="shared" si="152"/>
        <v>0</v>
      </c>
      <c r="AV140" s="48"/>
      <c r="AW140" s="48"/>
      <c r="AX140" s="48"/>
      <c r="AY140" s="48"/>
      <c r="AZ140" s="48"/>
      <c r="BA140" s="63">
        <f t="shared" si="153"/>
        <v>0</v>
      </c>
      <c r="BB140" s="48"/>
      <c r="BC140" s="48"/>
      <c r="BD140" s="48"/>
      <c r="BE140" s="48"/>
      <c r="BF140" s="48"/>
      <c r="BG140" s="63">
        <f t="shared" si="154"/>
        <v>0</v>
      </c>
      <c r="BH140" s="48"/>
      <c r="BI140" s="48">
        <v>0</v>
      </c>
      <c r="BJ140" s="48"/>
      <c r="BK140" s="48"/>
      <c r="BL140" s="48"/>
      <c r="BM140" s="48">
        <f aca="true" t="shared" si="160" ref="BM140:BM145">SUM(BG140+BI140-BJ140+BK140-BL140)</f>
        <v>0</v>
      </c>
      <c r="BN140" s="48"/>
      <c r="BO140" s="48"/>
      <c r="BP140" s="48"/>
      <c r="BQ140" s="48"/>
      <c r="BR140" s="48"/>
      <c r="BS140" s="63">
        <f t="shared" si="155"/>
        <v>0</v>
      </c>
      <c r="BT140" s="48"/>
      <c r="BU140" s="48"/>
      <c r="BV140" s="48"/>
      <c r="BW140" s="48"/>
      <c r="BX140" s="48"/>
      <c r="BY140" s="63">
        <f t="shared" si="156"/>
        <v>0</v>
      </c>
      <c r="BZ140" s="48"/>
      <c r="CA140" s="48"/>
      <c r="CB140" s="48">
        <v>0</v>
      </c>
      <c r="CC140" s="334">
        <f t="shared" si="158"/>
        <v>0</v>
      </c>
      <c r="CD140" s="48"/>
    </row>
    <row r="141" spans="1:82" ht="15.75">
      <c r="A141" s="14" t="s">
        <v>340</v>
      </c>
      <c r="B141" s="32"/>
      <c r="C141" s="32"/>
      <c r="D141" s="32"/>
      <c r="E141" s="13"/>
      <c r="F141" s="13"/>
      <c r="G141" s="13"/>
      <c r="H141" s="13"/>
      <c r="I141" s="13"/>
      <c r="J141" s="13"/>
      <c r="K141" s="13">
        <f>SUM(E141+G141-H141+I141-J141)</f>
        <v>0</v>
      </c>
      <c r="L141" s="13"/>
      <c r="M141" s="13"/>
      <c r="N141" s="13"/>
      <c r="O141" s="13"/>
      <c r="P141" s="13"/>
      <c r="Q141" s="13">
        <f aca="true" t="shared" si="161" ref="Q141:Q147">SUM(K141+M141-N141+O141-P141)</f>
        <v>0</v>
      </c>
      <c r="R141" s="13"/>
      <c r="S141" s="13"/>
      <c r="T141" s="13"/>
      <c r="U141" s="13"/>
      <c r="V141" s="13"/>
      <c r="W141" s="13">
        <f t="shared" si="150"/>
        <v>0</v>
      </c>
      <c r="X141" s="13"/>
      <c r="Y141" s="13"/>
      <c r="Z141" s="13"/>
      <c r="AA141" s="13"/>
      <c r="AB141" s="13"/>
      <c r="AC141" s="13">
        <f t="shared" si="157"/>
        <v>0</v>
      </c>
      <c r="AD141" s="13"/>
      <c r="AE141" s="524"/>
      <c r="AF141" s="524"/>
      <c r="AG141" s="13">
        <f>36000+36000</f>
        <v>72000</v>
      </c>
      <c r="AH141" s="13"/>
      <c r="AI141" s="13">
        <f t="shared" si="159"/>
        <v>72000</v>
      </c>
      <c r="AJ141" s="13"/>
      <c r="AK141" s="13"/>
      <c r="AL141" s="13"/>
      <c r="AM141" s="13">
        <f>36000+36000+36000</f>
        <v>108000</v>
      </c>
      <c r="AN141" s="13"/>
      <c r="AO141" s="13">
        <f t="shared" si="151"/>
        <v>180000</v>
      </c>
      <c r="AP141" s="13"/>
      <c r="AQ141" s="13"/>
      <c r="AR141" s="13"/>
      <c r="AS141" s="13"/>
      <c r="AT141" s="13"/>
      <c r="AU141" s="13">
        <f t="shared" si="152"/>
        <v>180000</v>
      </c>
      <c r="AV141" s="13"/>
      <c r="AW141" s="13"/>
      <c r="AX141" s="13"/>
      <c r="AY141" s="13">
        <f>36000+27000</f>
        <v>63000</v>
      </c>
      <c r="AZ141" s="13"/>
      <c r="BA141" s="13">
        <f t="shared" si="153"/>
        <v>243000</v>
      </c>
      <c r="BB141" s="13"/>
      <c r="BC141" s="13"/>
      <c r="BD141" s="13"/>
      <c r="BE141" s="13"/>
      <c r="BF141" s="13"/>
      <c r="BG141" s="13">
        <f t="shared" si="154"/>
        <v>243000</v>
      </c>
      <c r="BH141" s="13"/>
      <c r="BI141" s="13"/>
      <c r="BJ141" s="13"/>
      <c r="BK141" s="13">
        <v>27000</v>
      </c>
      <c r="BL141" s="13"/>
      <c r="BM141" s="13">
        <f t="shared" si="160"/>
        <v>270000</v>
      </c>
      <c r="BN141" s="13"/>
      <c r="BO141" s="13"/>
      <c r="BP141" s="13"/>
      <c r="BQ141" s="13">
        <v>36000</v>
      </c>
      <c r="BR141" s="13"/>
      <c r="BS141" s="13">
        <f t="shared" si="155"/>
        <v>306000</v>
      </c>
      <c r="BT141" s="13"/>
      <c r="BU141" s="13">
        <v>36000</v>
      </c>
      <c r="BV141" s="13"/>
      <c r="BW141" s="13">
        <v>36000</v>
      </c>
      <c r="BX141" s="13"/>
      <c r="BY141" s="13">
        <f t="shared" si="156"/>
        <v>378000</v>
      </c>
      <c r="BZ141" s="13"/>
      <c r="CA141" s="13"/>
      <c r="CB141" s="13">
        <v>450000</v>
      </c>
      <c r="CC141" s="42">
        <f t="shared" si="158"/>
        <v>-72000</v>
      </c>
      <c r="CD141" s="13"/>
    </row>
    <row r="142" spans="1:82" ht="15.75">
      <c r="A142" s="14" t="s">
        <v>365</v>
      </c>
      <c r="B142" s="32"/>
      <c r="C142" s="32"/>
      <c r="D142" s="32"/>
      <c r="E142" s="13"/>
      <c r="F142" s="13"/>
      <c r="G142" s="13"/>
      <c r="H142" s="13"/>
      <c r="I142" s="13"/>
      <c r="J142" s="13"/>
      <c r="K142" s="13">
        <f>SUM(E142+G142-H142+I142-J142)</f>
        <v>0</v>
      </c>
      <c r="L142" s="13"/>
      <c r="M142" s="13"/>
      <c r="N142" s="13"/>
      <c r="O142" s="13"/>
      <c r="P142" s="13"/>
      <c r="Q142" s="13">
        <f t="shared" si="161"/>
        <v>0</v>
      </c>
      <c r="R142" s="13"/>
      <c r="S142" s="13"/>
      <c r="T142" s="13"/>
      <c r="U142" s="13"/>
      <c r="V142" s="13"/>
      <c r="W142" s="13">
        <f t="shared" si="150"/>
        <v>0</v>
      </c>
      <c r="X142" s="13"/>
      <c r="Y142" s="13"/>
      <c r="Z142" s="13"/>
      <c r="AA142" s="13"/>
      <c r="AB142" s="13"/>
      <c r="AC142" s="13">
        <f t="shared" si="157"/>
        <v>0</v>
      </c>
      <c r="AD142" s="13"/>
      <c r="AE142" s="524"/>
      <c r="AF142" s="524"/>
      <c r="AG142" s="13">
        <f>60000+60000</f>
        <v>120000</v>
      </c>
      <c r="AH142" s="13"/>
      <c r="AI142" s="13">
        <f t="shared" si="159"/>
        <v>120000</v>
      </c>
      <c r="AJ142" s="13"/>
      <c r="AK142" s="13"/>
      <c r="AL142" s="13"/>
      <c r="AM142" s="13">
        <f>60000+60000+60000</f>
        <v>180000</v>
      </c>
      <c r="AN142" s="13"/>
      <c r="AO142" s="13">
        <f t="shared" si="151"/>
        <v>300000</v>
      </c>
      <c r="AP142" s="13"/>
      <c r="AQ142" s="13"/>
      <c r="AR142" s="13"/>
      <c r="AS142" s="13"/>
      <c r="AT142" s="13"/>
      <c r="AU142" s="13">
        <f t="shared" si="152"/>
        <v>300000</v>
      </c>
      <c r="AV142" s="13"/>
      <c r="AW142" s="13"/>
      <c r="AX142" s="13"/>
      <c r="AY142" s="13">
        <f>45000+60000+61080</f>
        <v>166080</v>
      </c>
      <c r="AZ142" s="13"/>
      <c r="BA142" s="13">
        <f t="shared" si="153"/>
        <v>466080</v>
      </c>
      <c r="BB142" s="13"/>
      <c r="BC142" s="13">
        <v>30000</v>
      </c>
      <c r="BD142" s="13"/>
      <c r="BE142" s="13"/>
      <c r="BF142" s="13"/>
      <c r="BG142" s="13">
        <f t="shared" si="154"/>
        <v>496080</v>
      </c>
      <c r="BH142" s="13"/>
      <c r="BI142" s="13"/>
      <c r="BJ142" s="13"/>
      <c r="BK142" s="13">
        <v>60000</v>
      </c>
      <c r="BL142" s="13"/>
      <c r="BM142" s="13">
        <f t="shared" si="160"/>
        <v>556080</v>
      </c>
      <c r="BN142" s="13"/>
      <c r="BO142" s="13"/>
      <c r="BP142" s="13"/>
      <c r="BQ142" s="13">
        <v>60000</v>
      </c>
      <c r="BR142" s="13"/>
      <c r="BS142" s="13">
        <f t="shared" si="155"/>
        <v>616080</v>
      </c>
      <c r="BT142" s="13"/>
      <c r="BU142" s="13"/>
      <c r="BV142" s="13"/>
      <c r="BW142" s="13">
        <v>60000</v>
      </c>
      <c r="BX142" s="13">
        <v>1080</v>
      </c>
      <c r="BY142" s="13">
        <f t="shared" si="156"/>
        <v>675000</v>
      </c>
      <c r="BZ142" s="13"/>
      <c r="CA142" s="13"/>
      <c r="CB142" s="13">
        <v>600000</v>
      </c>
      <c r="CC142" s="42">
        <f t="shared" si="158"/>
        <v>75000</v>
      </c>
      <c r="CD142" s="13"/>
    </row>
    <row r="143" spans="1:82" ht="15.75">
      <c r="A143" s="14" t="s">
        <v>461</v>
      </c>
      <c r="B143" s="32"/>
      <c r="C143" s="32"/>
      <c r="D143" s="32"/>
      <c r="E143" s="13"/>
      <c r="F143" s="13"/>
      <c r="G143" s="13"/>
      <c r="H143" s="13"/>
      <c r="I143" s="13"/>
      <c r="J143" s="13"/>
      <c r="K143" s="13">
        <f>SUM(E143+G143-H143+I143-J143)</f>
        <v>0</v>
      </c>
      <c r="L143" s="13"/>
      <c r="M143" s="13"/>
      <c r="N143" s="13"/>
      <c r="O143" s="13"/>
      <c r="P143" s="13"/>
      <c r="Q143" s="13">
        <f t="shared" si="161"/>
        <v>0</v>
      </c>
      <c r="R143" s="13"/>
      <c r="S143" s="13"/>
      <c r="T143" s="13"/>
      <c r="U143" s="13"/>
      <c r="V143" s="13"/>
      <c r="W143" s="13">
        <f t="shared" si="150"/>
        <v>0</v>
      </c>
      <c r="X143" s="13"/>
      <c r="Y143" s="13"/>
      <c r="Z143" s="13"/>
      <c r="AA143" s="13"/>
      <c r="AB143" s="13"/>
      <c r="AC143" s="13">
        <f t="shared" si="157"/>
        <v>0</v>
      </c>
      <c r="AD143" s="13"/>
      <c r="AE143" s="524"/>
      <c r="AF143" s="524"/>
      <c r="AG143" s="13"/>
      <c r="AH143" s="13"/>
      <c r="AI143" s="13">
        <f t="shared" si="159"/>
        <v>0</v>
      </c>
      <c r="AJ143" s="13"/>
      <c r="AK143" s="13"/>
      <c r="AL143" s="13"/>
      <c r="AM143" s="13"/>
      <c r="AN143" s="13"/>
      <c r="AO143" s="13">
        <f t="shared" si="151"/>
        <v>0</v>
      </c>
      <c r="AP143" s="13"/>
      <c r="AQ143" s="13"/>
      <c r="AR143" s="13"/>
      <c r="AS143" s="13"/>
      <c r="AT143" s="13"/>
      <c r="AU143" s="13">
        <f t="shared" si="152"/>
        <v>0</v>
      </c>
      <c r="AV143" s="13"/>
      <c r="AW143" s="13"/>
      <c r="AX143" s="13"/>
      <c r="AY143" s="13"/>
      <c r="AZ143" s="13"/>
      <c r="BA143" s="13">
        <f t="shared" si="153"/>
        <v>0</v>
      </c>
      <c r="BB143" s="13"/>
      <c r="BC143" s="13"/>
      <c r="BD143" s="13"/>
      <c r="BE143" s="13"/>
      <c r="BF143" s="13"/>
      <c r="BG143" s="13">
        <f t="shared" si="154"/>
        <v>0</v>
      </c>
      <c r="BH143" s="13"/>
      <c r="BI143" s="13"/>
      <c r="BJ143" s="13"/>
      <c r="BK143" s="13"/>
      <c r="BL143" s="13"/>
      <c r="BM143" s="13">
        <f t="shared" si="160"/>
        <v>0</v>
      </c>
      <c r="BN143" s="13"/>
      <c r="BO143" s="13"/>
      <c r="BP143" s="13"/>
      <c r="BQ143" s="13"/>
      <c r="BR143" s="13"/>
      <c r="BS143" s="13">
        <f t="shared" si="155"/>
        <v>0</v>
      </c>
      <c r="BT143" s="13"/>
      <c r="BU143" s="13"/>
      <c r="BV143" s="13"/>
      <c r="BW143" s="13"/>
      <c r="BX143" s="13"/>
      <c r="BY143" s="13">
        <f t="shared" si="156"/>
        <v>0</v>
      </c>
      <c r="BZ143" s="13"/>
      <c r="CA143" s="13"/>
      <c r="CB143" s="13">
        <v>9298</v>
      </c>
      <c r="CC143" s="42">
        <f t="shared" si="158"/>
        <v>-9298</v>
      </c>
      <c r="CD143" s="13"/>
    </row>
    <row r="144" spans="1:82" ht="15.75">
      <c r="A144" s="34" t="s">
        <v>370</v>
      </c>
      <c r="B144" s="32"/>
      <c r="C144" s="32"/>
      <c r="D144" s="32"/>
      <c r="E144" s="13"/>
      <c r="F144" s="13"/>
      <c r="G144" s="13"/>
      <c r="H144" s="13"/>
      <c r="I144" s="13"/>
      <c r="J144" s="13"/>
      <c r="K144" s="13">
        <f>SUM(E144+G144-H144+I144-J144)</f>
        <v>0</v>
      </c>
      <c r="L144" s="13"/>
      <c r="M144" s="13"/>
      <c r="N144" s="13"/>
      <c r="O144" s="13"/>
      <c r="P144" s="13"/>
      <c r="Q144" s="13">
        <f t="shared" si="161"/>
        <v>0</v>
      </c>
      <c r="R144" s="13"/>
      <c r="S144" s="13"/>
      <c r="T144" s="13"/>
      <c r="U144" s="13"/>
      <c r="V144" s="13"/>
      <c r="W144" s="13">
        <f t="shared" si="150"/>
        <v>0</v>
      </c>
      <c r="X144" s="13"/>
      <c r="Y144" s="13"/>
      <c r="Z144" s="13"/>
      <c r="AA144" s="13"/>
      <c r="AB144" s="13"/>
      <c r="AC144" s="13">
        <f t="shared" si="157"/>
        <v>0</v>
      </c>
      <c r="AD144" s="13"/>
      <c r="AE144" s="524"/>
      <c r="AF144" s="524"/>
      <c r="AG144" s="13"/>
      <c r="AH144" s="13"/>
      <c r="AI144" s="13">
        <f t="shared" si="159"/>
        <v>0</v>
      </c>
      <c r="AJ144" s="13"/>
      <c r="AK144" s="13"/>
      <c r="AL144" s="13"/>
      <c r="AM144" s="13"/>
      <c r="AN144" s="13"/>
      <c r="AO144" s="13">
        <f t="shared" si="151"/>
        <v>0</v>
      </c>
      <c r="AP144" s="13"/>
      <c r="AQ144" s="13"/>
      <c r="AR144" s="13"/>
      <c r="AS144" s="13"/>
      <c r="AT144" s="13"/>
      <c r="AU144" s="13">
        <f t="shared" si="152"/>
        <v>0</v>
      </c>
      <c r="AV144" s="13"/>
      <c r="AW144" s="13"/>
      <c r="AX144" s="13">
        <v>0</v>
      </c>
      <c r="AY144" s="13"/>
      <c r="AZ144" s="13"/>
      <c r="BA144" s="13">
        <f t="shared" si="153"/>
        <v>0</v>
      </c>
      <c r="BB144" s="13"/>
      <c r="BC144" s="13">
        <v>15414</v>
      </c>
      <c r="BD144" s="13"/>
      <c r="BE144" s="13">
        <v>6400</v>
      </c>
      <c r="BF144" s="13"/>
      <c r="BG144" s="13">
        <f t="shared" si="154"/>
        <v>21814</v>
      </c>
      <c r="BH144" s="13"/>
      <c r="BI144" s="13"/>
      <c r="BJ144" s="13"/>
      <c r="BK144" s="13"/>
      <c r="BL144" s="13"/>
      <c r="BM144" s="13">
        <f t="shared" si="160"/>
        <v>21814</v>
      </c>
      <c r="BN144" s="13"/>
      <c r="BO144" s="13"/>
      <c r="BP144" s="13"/>
      <c r="BQ144" s="13"/>
      <c r="BR144" s="13"/>
      <c r="BS144" s="13">
        <f t="shared" si="155"/>
        <v>21814</v>
      </c>
      <c r="BT144" s="13"/>
      <c r="BU144" s="13"/>
      <c r="BV144" s="13"/>
      <c r="BW144" s="13"/>
      <c r="BX144" s="13">
        <v>14</v>
      </c>
      <c r="BY144" s="13">
        <f t="shared" si="156"/>
        <v>21800</v>
      </c>
      <c r="BZ144" s="13"/>
      <c r="CA144" s="13"/>
      <c r="CB144" s="13">
        <v>21800</v>
      </c>
      <c r="CC144" s="42">
        <f t="shared" si="158"/>
        <v>0</v>
      </c>
      <c r="CD144" s="13"/>
    </row>
    <row r="145" spans="1:82" ht="15.75">
      <c r="A145" s="34" t="s">
        <v>341</v>
      </c>
      <c r="B145" s="32"/>
      <c r="C145" s="32"/>
      <c r="D145" s="32"/>
      <c r="E145" s="13"/>
      <c r="F145" s="13"/>
      <c r="G145" s="13"/>
      <c r="H145" s="13"/>
      <c r="I145" s="13"/>
      <c r="J145" s="13"/>
      <c r="K145" s="13">
        <f>SUM(E145+G145-H145+I145-J145)</f>
        <v>0</v>
      </c>
      <c r="L145" s="13"/>
      <c r="M145" s="13"/>
      <c r="N145" s="13"/>
      <c r="O145" s="13"/>
      <c r="P145" s="13"/>
      <c r="Q145" s="13">
        <f t="shared" si="161"/>
        <v>0</v>
      </c>
      <c r="R145" s="13"/>
      <c r="S145" s="13"/>
      <c r="T145" s="13"/>
      <c r="U145" s="13"/>
      <c r="V145" s="13"/>
      <c r="W145" s="13">
        <f t="shared" si="150"/>
        <v>0</v>
      </c>
      <c r="X145" s="13"/>
      <c r="Y145" s="13"/>
      <c r="Z145" s="13"/>
      <c r="AA145" s="13"/>
      <c r="AB145" s="13"/>
      <c r="AC145" s="13">
        <f t="shared" si="157"/>
        <v>0</v>
      </c>
      <c r="AD145" s="13"/>
      <c r="AE145" s="524"/>
      <c r="AF145" s="524"/>
      <c r="AG145" s="13"/>
      <c r="AH145" s="13"/>
      <c r="AI145" s="13">
        <f t="shared" si="159"/>
        <v>0</v>
      </c>
      <c r="AJ145" s="13"/>
      <c r="AK145" s="13"/>
      <c r="AL145" s="13"/>
      <c r="AM145" s="13"/>
      <c r="AN145" s="13"/>
      <c r="AO145" s="13">
        <f t="shared" si="151"/>
        <v>0</v>
      </c>
      <c r="AP145" s="13"/>
      <c r="AQ145" s="13"/>
      <c r="AR145" s="13"/>
      <c r="AS145" s="13"/>
      <c r="AT145" s="13"/>
      <c r="AU145" s="13">
        <f t="shared" si="152"/>
        <v>0</v>
      </c>
      <c r="AV145" s="13"/>
      <c r="AW145" s="13">
        <v>51514.02</v>
      </c>
      <c r="AX145" s="13"/>
      <c r="AY145" s="13"/>
      <c r="AZ145" s="13"/>
      <c r="BA145" s="13">
        <f t="shared" si="153"/>
        <v>51514.02</v>
      </c>
      <c r="BB145" s="13"/>
      <c r="BC145" s="13"/>
      <c r="BD145" s="13"/>
      <c r="BE145" s="13"/>
      <c r="BF145" s="13"/>
      <c r="BG145" s="13">
        <f t="shared" si="154"/>
        <v>51514.02</v>
      </c>
      <c r="BH145" s="13"/>
      <c r="BI145" s="13">
        <v>338047</v>
      </c>
      <c r="BJ145" s="13"/>
      <c r="BK145" s="13"/>
      <c r="BL145" s="13"/>
      <c r="BM145" s="13">
        <f t="shared" si="160"/>
        <v>389561.02</v>
      </c>
      <c r="BN145" s="13"/>
      <c r="BO145" s="13"/>
      <c r="BP145" s="13"/>
      <c r="BQ145" s="13"/>
      <c r="BR145" s="13"/>
      <c r="BS145" s="13">
        <f t="shared" si="155"/>
        <v>389561.02</v>
      </c>
      <c r="BT145" s="13"/>
      <c r="BU145" s="13"/>
      <c r="BV145" s="13"/>
      <c r="BW145" s="13"/>
      <c r="BX145" s="13">
        <v>51514.02</v>
      </c>
      <c r="BY145" s="13">
        <f t="shared" si="156"/>
        <v>338047</v>
      </c>
      <c r="BZ145" s="13"/>
      <c r="CA145" s="13"/>
      <c r="CB145" s="13">
        <v>338047</v>
      </c>
      <c r="CC145" s="42">
        <f t="shared" si="158"/>
        <v>0</v>
      </c>
      <c r="CD145" s="13"/>
    </row>
    <row r="146" spans="1:82" ht="15.75">
      <c r="A146" s="34" t="s">
        <v>499</v>
      </c>
      <c r="B146" s="32"/>
      <c r="C146" s="32"/>
      <c r="D146" s="32"/>
      <c r="E146" s="13"/>
      <c r="F146" s="13"/>
      <c r="G146" s="13"/>
      <c r="H146" s="13"/>
      <c r="I146" s="13"/>
      <c r="J146" s="13"/>
      <c r="K146" s="13">
        <f>SUM(E146+G146-H146+I146-J146)</f>
        <v>0</v>
      </c>
      <c r="L146" s="13"/>
      <c r="M146" s="13"/>
      <c r="N146" s="13"/>
      <c r="O146" s="13"/>
      <c r="P146" s="13"/>
      <c r="Q146" s="13">
        <f t="shared" si="161"/>
        <v>0</v>
      </c>
      <c r="R146" s="13"/>
      <c r="S146" s="13"/>
      <c r="T146" s="13"/>
      <c r="U146" s="13"/>
      <c r="V146" s="13"/>
      <c r="W146" s="13">
        <f t="shared" si="150"/>
        <v>0</v>
      </c>
      <c r="X146" s="13"/>
      <c r="Y146" s="13"/>
      <c r="Z146" s="13"/>
      <c r="AA146" s="13"/>
      <c r="AB146" s="13"/>
      <c r="AC146" s="13">
        <f t="shared" si="157"/>
        <v>0</v>
      </c>
      <c r="AD146" s="13"/>
      <c r="AE146" s="524"/>
      <c r="AF146" s="524"/>
      <c r="AG146" s="13"/>
      <c r="AH146" s="13"/>
      <c r="AI146" s="13">
        <f>SUM(AC146+AE146-AF146+AG146-AH146)</f>
        <v>0</v>
      </c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>
        <f t="shared" si="153"/>
        <v>0</v>
      </c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>
        <v>45500</v>
      </c>
      <c r="BV146" s="13"/>
      <c r="BW146" s="13"/>
      <c r="BX146" s="13"/>
      <c r="BY146" s="13">
        <f t="shared" si="156"/>
        <v>45500</v>
      </c>
      <c r="BZ146" s="13"/>
      <c r="CA146" s="13"/>
      <c r="CB146" s="13">
        <v>45500</v>
      </c>
      <c r="CC146" s="42">
        <f t="shared" si="158"/>
        <v>0</v>
      </c>
      <c r="CD146" s="13"/>
    </row>
    <row r="147" spans="1:82" ht="15.75">
      <c r="A147" s="34" t="s">
        <v>546</v>
      </c>
      <c r="B147" s="32"/>
      <c r="C147" s="32"/>
      <c r="D147" s="32"/>
      <c r="E147" s="13"/>
      <c r="F147" s="13"/>
      <c r="G147" s="13"/>
      <c r="H147" s="13"/>
      <c r="I147" s="13"/>
      <c r="J147" s="13"/>
      <c r="K147" s="13">
        <f>SUM(E147+G147-H147+I147-J147)</f>
        <v>0</v>
      </c>
      <c r="L147" s="13"/>
      <c r="M147" s="13"/>
      <c r="N147" s="13"/>
      <c r="O147" s="13"/>
      <c r="P147" s="13"/>
      <c r="Q147" s="13">
        <f t="shared" si="161"/>
        <v>0</v>
      </c>
      <c r="R147" s="13"/>
      <c r="S147" s="13"/>
      <c r="T147" s="13"/>
      <c r="U147" s="13"/>
      <c r="V147" s="13"/>
      <c r="W147" s="13">
        <f t="shared" si="150"/>
        <v>0</v>
      </c>
      <c r="X147" s="13"/>
      <c r="Y147" s="13"/>
      <c r="Z147" s="13"/>
      <c r="AA147" s="13"/>
      <c r="AB147" s="13"/>
      <c r="AC147" s="13">
        <f t="shared" si="157"/>
        <v>0</v>
      </c>
      <c r="AD147" s="13"/>
      <c r="AE147" s="524"/>
      <c r="AF147" s="524"/>
      <c r="AG147" s="13"/>
      <c r="AH147" s="13"/>
      <c r="AI147" s="13">
        <f>SUM(AC147+AE147-AF147+AG147-AH147)</f>
        <v>0</v>
      </c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>
        <v>51514.02</v>
      </c>
      <c r="BX147" s="13"/>
      <c r="BY147" s="13">
        <f t="shared" si="156"/>
        <v>51514.02</v>
      </c>
      <c r="BZ147" s="13"/>
      <c r="CA147" s="13"/>
      <c r="CB147" s="13">
        <v>51514.02</v>
      </c>
      <c r="CC147" s="42">
        <f t="shared" si="158"/>
        <v>0</v>
      </c>
      <c r="CD147" s="13"/>
    </row>
    <row r="148" spans="1:84" s="405" customFormat="1" ht="15.75">
      <c r="A148" s="723" t="s">
        <v>31</v>
      </c>
      <c r="B148" s="724"/>
      <c r="C148" s="724"/>
      <c r="D148" s="724"/>
      <c r="E148" s="402">
        <f>SUM(E109,E134)</f>
        <v>0</v>
      </c>
      <c r="F148" s="402">
        <f aca="true" t="shared" si="162" ref="F148:BQ148">SUM(F109,F134)</f>
        <v>0</v>
      </c>
      <c r="G148" s="402">
        <f t="shared" si="162"/>
        <v>863914.4099999999</v>
      </c>
      <c r="H148" s="402">
        <f t="shared" si="162"/>
        <v>0</v>
      </c>
      <c r="I148" s="402">
        <f t="shared" si="162"/>
        <v>0</v>
      </c>
      <c r="J148" s="402">
        <f t="shared" si="162"/>
        <v>0</v>
      </c>
      <c r="K148" s="402">
        <f t="shared" si="162"/>
        <v>863914.4099999999</v>
      </c>
      <c r="L148" s="402">
        <f t="shared" si="162"/>
        <v>0</v>
      </c>
      <c r="M148" s="402">
        <f t="shared" si="162"/>
        <v>2435095.99</v>
      </c>
      <c r="N148" s="402">
        <f t="shared" si="162"/>
        <v>310</v>
      </c>
      <c r="O148" s="402">
        <f t="shared" si="162"/>
        <v>141350</v>
      </c>
      <c r="P148" s="402">
        <f t="shared" si="162"/>
        <v>0</v>
      </c>
      <c r="Q148" s="402">
        <f>SUM(Q109,Q134)</f>
        <v>3440050.4</v>
      </c>
      <c r="R148" s="402">
        <f t="shared" si="162"/>
        <v>0</v>
      </c>
      <c r="S148" s="402">
        <f t="shared" si="162"/>
        <v>1819836.95</v>
      </c>
      <c r="T148" s="402">
        <f t="shared" si="162"/>
        <v>700</v>
      </c>
      <c r="U148" s="402">
        <f t="shared" si="162"/>
        <v>2538080</v>
      </c>
      <c r="V148" s="402">
        <f t="shared" si="162"/>
        <v>0</v>
      </c>
      <c r="W148" s="402">
        <f t="shared" si="162"/>
        <v>7797267.35</v>
      </c>
      <c r="X148" s="402">
        <f t="shared" si="162"/>
        <v>0</v>
      </c>
      <c r="Y148" s="402">
        <f t="shared" si="162"/>
        <v>2788719.89</v>
      </c>
      <c r="Z148" s="402">
        <f t="shared" si="162"/>
        <v>0</v>
      </c>
      <c r="AA148" s="402">
        <f t="shared" si="162"/>
        <v>715560</v>
      </c>
      <c r="AB148" s="402">
        <f t="shared" si="162"/>
        <v>0</v>
      </c>
      <c r="AC148" s="402">
        <f t="shared" si="162"/>
        <v>11301547.24</v>
      </c>
      <c r="AD148" s="402">
        <f t="shared" si="162"/>
        <v>0</v>
      </c>
      <c r="AE148" s="402">
        <f>SUM(AE109,AE134)</f>
        <v>1538530.83</v>
      </c>
      <c r="AF148" s="402">
        <f t="shared" si="162"/>
        <v>149.33</v>
      </c>
      <c r="AG148" s="402">
        <f t="shared" si="162"/>
        <v>895080</v>
      </c>
      <c r="AH148" s="402">
        <f t="shared" si="162"/>
        <v>0</v>
      </c>
      <c r="AI148" s="402">
        <f t="shared" si="162"/>
        <v>13735008.74</v>
      </c>
      <c r="AJ148" s="402">
        <f t="shared" si="162"/>
        <v>0</v>
      </c>
      <c r="AK148" s="402">
        <f t="shared" si="162"/>
        <v>1708380.81</v>
      </c>
      <c r="AL148" s="402">
        <f t="shared" si="162"/>
        <v>0</v>
      </c>
      <c r="AM148" s="403">
        <f t="shared" si="162"/>
        <v>988540</v>
      </c>
      <c r="AN148" s="403">
        <f t="shared" si="162"/>
        <v>0</v>
      </c>
      <c r="AO148" s="402">
        <f t="shared" si="162"/>
        <v>16431929.55</v>
      </c>
      <c r="AP148" s="402">
        <f t="shared" si="162"/>
        <v>0</v>
      </c>
      <c r="AQ148" s="402">
        <f t="shared" si="162"/>
        <v>0</v>
      </c>
      <c r="AR148" s="402">
        <f t="shared" si="162"/>
        <v>0</v>
      </c>
      <c r="AS148" s="402">
        <f t="shared" si="162"/>
        <v>0</v>
      </c>
      <c r="AT148" s="402">
        <f t="shared" si="162"/>
        <v>0</v>
      </c>
      <c r="AU148" s="402">
        <f t="shared" si="162"/>
        <v>16431929.55</v>
      </c>
      <c r="AV148" s="402">
        <f t="shared" si="162"/>
        <v>0</v>
      </c>
      <c r="AW148" s="402">
        <f t="shared" si="162"/>
        <v>2385363.7600000002</v>
      </c>
      <c r="AX148" s="402">
        <f t="shared" si="162"/>
        <v>1977</v>
      </c>
      <c r="AY148" s="402">
        <f t="shared" si="162"/>
        <v>429652</v>
      </c>
      <c r="AZ148" s="402">
        <f t="shared" si="162"/>
        <v>0</v>
      </c>
      <c r="BA148" s="402">
        <f t="shared" si="162"/>
        <v>19244968.31</v>
      </c>
      <c r="BB148" s="402">
        <f t="shared" si="162"/>
        <v>0</v>
      </c>
      <c r="BC148" s="402">
        <f t="shared" si="162"/>
        <v>2147162.81</v>
      </c>
      <c r="BD148" s="402">
        <f t="shared" si="162"/>
        <v>41100</v>
      </c>
      <c r="BE148" s="402">
        <f t="shared" si="162"/>
        <v>12800</v>
      </c>
      <c r="BF148" s="402">
        <f t="shared" si="162"/>
        <v>6400</v>
      </c>
      <c r="BG148" s="402">
        <f>SUM(BG109,BG134)</f>
        <v>21357431.119999997</v>
      </c>
      <c r="BH148" s="402">
        <f t="shared" si="162"/>
        <v>0</v>
      </c>
      <c r="BI148" s="402">
        <f t="shared" si="162"/>
        <v>1895695.75</v>
      </c>
      <c r="BJ148" s="402">
        <f t="shared" si="162"/>
        <v>700</v>
      </c>
      <c r="BK148" s="402">
        <f t="shared" si="162"/>
        <v>755380</v>
      </c>
      <c r="BL148" s="402">
        <f t="shared" si="162"/>
        <v>0</v>
      </c>
      <c r="BM148" s="402">
        <f>SUM(BM109,BM134)</f>
        <v>24007806.87</v>
      </c>
      <c r="BN148" s="402">
        <f t="shared" si="162"/>
        <v>0</v>
      </c>
      <c r="BO148" s="402">
        <f t="shared" si="162"/>
        <v>1216672.1</v>
      </c>
      <c r="BP148" s="402">
        <f t="shared" si="162"/>
        <v>0</v>
      </c>
      <c r="BQ148" s="402">
        <f t="shared" si="162"/>
        <v>867797.5</v>
      </c>
      <c r="BR148" s="402">
        <f aca="true" t="shared" si="163" ref="BR148:CD148">SUM(BR109,BR134)</f>
        <v>0</v>
      </c>
      <c r="BS148" s="402">
        <f t="shared" si="163"/>
        <v>26092276.47</v>
      </c>
      <c r="BT148" s="402">
        <f t="shared" si="163"/>
        <v>0</v>
      </c>
      <c r="BU148" s="402">
        <f t="shared" si="163"/>
        <v>3571838.3</v>
      </c>
      <c r="BV148" s="402">
        <f t="shared" si="163"/>
        <v>750</v>
      </c>
      <c r="BW148" s="402">
        <f>SUM(BW109,BW134)</f>
        <v>6106764.02</v>
      </c>
      <c r="BX148" s="402">
        <f t="shared" si="163"/>
        <v>106523.01999999999</v>
      </c>
      <c r="BY148" s="402">
        <f>SUM(BY109,BY134)</f>
        <v>35663605.769999996</v>
      </c>
      <c r="BZ148" s="402">
        <f t="shared" si="163"/>
        <v>0</v>
      </c>
      <c r="CA148" s="402">
        <f>SUM(CA109,CA134)</f>
        <v>0</v>
      </c>
      <c r="CB148" s="402">
        <f t="shared" si="163"/>
        <v>37229128.22</v>
      </c>
      <c r="CC148" s="402">
        <f>SUM(CC109,CC134)</f>
        <v>-1565522.4499999997</v>
      </c>
      <c r="CD148" s="402">
        <f t="shared" si="163"/>
        <v>0</v>
      </c>
      <c r="CE148" s="404"/>
      <c r="CF148" s="404"/>
    </row>
    <row r="149" spans="1:84" s="65" customFormat="1" ht="15.75">
      <c r="A149" s="66" t="s">
        <v>313</v>
      </c>
      <c r="B149" s="64"/>
      <c r="C149" s="64"/>
      <c r="D149" s="64"/>
      <c r="E149" s="56"/>
      <c r="F149" s="56"/>
      <c r="G149" s="56"/>
      <c r="H149" s="56"/>
      <c r="I149" s="56"/>
      <c r="J149" s="56"/>
      <c r="K149" s="56"/>
      <c r="L149" s="13">
        <f>SUM(F149-G149+H149-I149+J149)</f>
        <v>0</v>
      </c>
      <c r="M149" s="56"/>
      <c r="N149" s="56"/>
      <c r="O149" s="56"/>
      <c r="P149" s="56"/>
      <c r="Q149" s="56"/>
      <c r="R149" s="13">
        <f>SUM(L149-M149+N149-O149+P149)</f>
        <v>0</v>
      </c>
      <c r="S149" s="56"/>
      <c r="T149" s="56"/>
      <c r="U149" s="56"/>
      <c r="V149" s="56"/>
      <c r="W149" s="56"/>
      <c r="X149" s="13">
        <f>SUM(R149-S149+T149-U149+V149)</f>
        <v>0</v>
      </c>
      <c r="Y149" s="56"/>
      <c r="Z149" s="56"/>
      <c r="AA149" s="56"/>
      <c r="AB149" s="56"/>
      <c r="AC149" s="56"/>
      <c r="AD149" s="13">
        <f>SUM(X149-Y149+Z149-AA149+AB149)</f>
        <v>0</v>
      </c>
      <c r="AE149" s="535"/>
      <c r="AF149" s="535"/>
      <c r="AG149" s="56"/>
      <c r="AH149" s="56"/>
      <c r="AI149" s="56"/>
      <c r="AJ149" s="13">
        <f>SUM(AD149-AE149+AF149-AG149+AH149)</f>
        <v>0</v>
      </c>
      <c r="AK149" s="56"/>
      <c r="AL149" s="56">
        <v>0.06</v>
      </c>
      <c r="AM149" s="154"/>
      <c r="AN149" s="154"/>
      <c r="AO149" s="56"/>
      <c r="AP149" s="13">
        <f>SUM(AJ149-AK149+AL149-AM149+AN149)</f>
        <v>0.06</v>
      </c>
      <c r="AQ149" s="56"/>
      <c r="AR149" s="56"/>
      <c r="AS149" s="56"/>
      <c r="AT149" s="56"/>
      <c r="AU149" s="56"/>
      <c r="AV149" s="13">
        <f>SUM(AP149-AQ149+AR149-AS149+AT149)</f>
        <v>0.06</v>
      </c>
      <c r="AW149" s="56"/>
      <c r="AX149" s="56"/>
      <c r="AY149" s="56"/>
      <c r="AZ149" s="56"/>
      <c r="BA149" s="56"/>
      <c r="BB149" s="13">
        <f>SUM(AV149-AW149+AX149-AY149+AZ149)</f>
        <v>0.06</v>
      </c>
      <c r="BC149" s="56"/>
      <c r="BD149" s="56"/>
      <c r="BE149" s="56"/>
      <c r="BF149" s="56"/>
      <c r="BG149" s="56"/>
      <c r="BH149" s="13">
        <f>SUM(BB149-BC149+BD149-BE149+BF149)</f>
        <v>0.06</v>
      </c>
      <c r="BI149" s="56"/>
      <c r="BJ149" s="56"/>
      <c r="BK149" s="56"/>
      <c r="BL149" s="56"/>
      <c r="BM149" s="56"/>
      <c r="BN149" s="13">
        <f>SUM(BH149-BI149+BJ149-BK149+BL149)</f>
        <v>0.06</v>
      </c>
      <c r="BO149" s="56"/>
      <c r="BP149" s="56"/>
      <c r="BQ149" s="56"/>
      <c r="BR149" s="56"/>
      <c r="BS149" s="56"/>
      <c r="BT149" s="13">
        <f>SUM(BN149-BO149+BP149-BQ149+BR149)</f>
        <v>0.06</v>
      </c>
      <c r="BU149" s="56"/>
      <c r="BV149" s="56"/>
      <c r="BW149" s="56"/>
      <c r="BX149" s="56"/>
      <c r="BY149" s="56"/>
      <c r="BZ149" s="13">
        <f>SUM(BT149-BU149+BV149-BW149+BX149)</f>
        <v>0.06</v>
      </c>
      <c r="CA149" s="56">
        <v>0</v>
      </c>
      <c r="CB149" s="56">
        <v>0</v>
      </c>
      <c r="CC149" s="56"/>
      <c r="CD149" s="13">
        <f>SUM(BX149-BY149+BZ149-CA149+CB149)</f>
        <v>0.06</v>
      </c>
      <c r="CE149" s="165"/>
      <c r="CF149" s="165"/>
    </row>
    <row r="150" spans="1:84" s="405" customFormat="1" ht="15.75">
      <c r="A150" s="723" t="s">
        <v>116</v>
      </c>
      <c r="B150" s="724"/>
      <c r="C150" s="724"/>
      <c r="D150" s="724"/>
      <c r="E150" s="402">
        <f>SUM(E25,E47,E107,E148)</f>
        <v>29056374.560000002</v>
      </c>
      <c r="F150" s="402">
        <f>SUM(F25,F47,F107,F148)</f>
        <v>29056374.559999995</v>
      </c>
      <c r="G150" s="402">
        <f aca="true" t="shared" si="164" ref="G150:AL150">SUM(G25,G47,G107,G148+G149)</f>
        <v>2839194.8599999994</v>
      </c>
      <c r="H150" s="402">
        <f t="shared" si="164"/>
        <v>2839194.8599999994</v>
      </c>
      <c r="I150" s="402">
        <f t="shared" si="164"/>
        <v>12169267.18</v>
      </c>
      <c r="J150" s="402">
        <f t="shared" si="164"/>
        <v>12169267.18</v>
      </c>
      <c r="K150" s="402">
        <f t="shared" si="164"/>
        <v>29534987.37</v>
      </c>
      <c r="L150" s="402">
        <f t="shared" si="164"/>
        <v>29534987.369999997</v>
      </c>
      <c r="M150" s="402">
        <f t="shared" si="164"/>
        <v>9079351.09</v>
      </c>
      <c r="N150" s="402">
        <f t="shared" si="164"/>
        <v>9079351.09</v>
      </c>
      <c r="O150" s="402">
        <f t="shared" si="164"/>
        <v>3600693.6399999997</v>
      </c>
      <c r="P150" s="402">
        <f t="shared" si="164"/>
        <v>3600693.6399999997</v>
      </c>
      <c r="Q150" s="402">
        <f>SUM(Q25,Q47,Q107,Q148+Q149)</f>
        <v>35144812.31000001</v>
      </c>
      <c r="R150" s="402">
        <f>SUM(R25,R47,R107,R148+R149)</f>
        <v>35144812.309999995</v>
      </c>
      <c r="S150" s="402">
        <f t="shared" si="164"/>
        <v>20606823.58</v>
      </c>
      <c r="T150" s="402">
        <f t="shared" si="164"/>
        <v>20606823.58</v>
      </c>
      <c r="U150" s="402">
        <f t="shared" si="164"/>
        <v>5762069.29</v>
      </c>
      <c r="V150" s="402">
        <f t="shared" si="164"/>
        <v>5762069.29</v>
      </c>
      <c r="W150" s="402">
        <f t="shared" si="164"/>
        <v>52498015.960000016</v>
      </c>
      <c r="X150" s="402">
        <f t="shared" si="164"/>
        <v>52498015.96</v>
      </c>
      <c r="Y150" s="402">
        <f t="shared" si="164"/>
        <v>6297066.35</v>
      </c>
      <c r="Z150" s="402">
        <f t="shared" si="164"/>
        <v>6297066.350000001</v>
      </c>
      <c r="AA150" s="402">
        <f t="shared" si="164"/>
        <v>14449468.280000001</v>
      </c>
      <c r="AB150" s="402">
        <f t="shared" si="164"/>
        <v>14449468.280000001</v>
      </c>
      <c r="AC150" s="402">
        <f t="shared" si="164"/>
        <v>54902271.40000001</v>
      </c>
      <c r="AD150" s="402">
        <f t="shared" si="164"/>
        <v>54902271.4</v>
      </c>
      <c r="AE150" s="402">
        <f>SUM(AE25,AE47,AE107,AE148+AE149)</f>
        <v>13331454.64</v>
      </c>
      <c r="AF150" s="402">
        <f>SUM(AF25,AF47,AF107,AF148+AF149)</f>
        <v>13331454.639999999</v>
      </c>
      <c r="AG150" s="402">
        <f t="shared" si="164"/>
        <v>3784367.0900000003</v>
      </c>
      <c r="AH150" s="402">
        <f t="shared" si="164"/>
        <v>3784367.0900000003</v>
      </c>
      <c r="AI150" s="402">
        <f t="shared" si="164"/>
        <v>64789243.570000015</v>
      </c>
      <c r="AJ150" s="402">
        <f t="shared" si="164"/>
        <v>64789243.57</v>
      </c>
      <c r="AK150" s="402">
        <f t="shared" si="164"/>
        <v>6660762.800000001</v>
      </c>
      <c r="AL150" s="402">
        <f t="shared" si="164"/>
        <v>6660762.8</v>
      </c>
      <c r="AM150" s="403">
        <f aca="true" t="shared" si="165" ref="AM150:BR150">SUM(AM25,AM47,AM107,AM148+AM149)</f>
        <v>16993924.79</v>
      </c>
      <c r="AN150" s="403">
        <f t="shared" si="165"/>
        <v>16993924.79</v>
      </c>
      <c r="AO150" s="402">
        <f t="shared" si="165"/>
        <v>61817185.360000014</v>
      </c>
      <c r="AP150" s="402">
        <f t="shared" si="165"/>
        <v>61817185.36000001</v>
      </c>
      <c r="AQ150" s="402">
        <f t="shared" si="165"/>
        <v>0</v>
      </c>
      <c r="AR150" s="402">
        <f t="shared" si="165"/>
        <v>0</v>
      </c>
      <c r="AS150" s="402">
        <f t="shared" si="165"/>
        <v>0</v>
      </c>
      <c r="AT150" s="402">
        <f t="shared" si="165"/>
        <v>0</v>
      </c>
      <c r="AU150" s="402">
        <f t="shared" si="165"/>
        <v>61817185.360000014</v>
      </c>
      <c r="AV150" s="402">
        <f t="shared" si="165"/>
        <v>61817185.36000001</v>
      </c>
      <c r="AW150" s="402">
        <f t="shared" si="165"/>
        <v>8406271.51</v>
      </c>
      <c r="AX150" s="402">
        <f t="shared" si="165"/>
        <v>8406271.509999998</v>
      </c>
      <c r="AY150" s="402">
        <f t="shared" si="165"/>
        <v>4095371.78</v>
      </c>
      <c r="AZ150" s="402">
        <f t="shared" si="165"/>
        <v>4095371.78</v>
      </c>
      <c r="BA150" s="402">
        <f t="shared" si="165"/>
        <v>65487880.46000001</v>
      </c>
      <c r="BB150" s="402">
        <f t="shared" si="165"/>
        <v>65407120.46</v>
      </c>
      <c r="BC150" s="402">
        <f t="shared" si="165"/>
        <v>5083358.390000001</v>
      </c>
      <c r="BD150" s="402">
        <f t="shared" si="165"/>
        <v>5083358.39</v>
      </c>
      <c r="BE150" s="402">
        <f t="shared" si="165"/>
        <v>3896203.13</v>
      </c>
      <c r="BF150" s="402">
        <f t="shared" si="165"/>
        <v>3896203.13</v>
      </c>
      <c r="BG150" s="402">
        <f>SUM(BG25,BG47,BG107,BG148+BG149)</f>
        <v>64999761.41000002</v>
      </c>
      <c r="BH150" s="402">
        <f>SUM(BH25,BH47,BH107,BH148+BH149)</f>
        <v>64919001.41</v>
      </c>
      <c r="BI150" s="402">
        <f t="shared" si="165"/>
        <v>7986774.15</v>
      </c>
      <c r="BJ150" s="402">
        <f t="shared" si="165"/>
        <v>7986774.149999999</v>
      </c>
      <c r="BK150" s="402">
        <f t="shared" si="165"/>
        <v>6632954.96</v>
      </c>
      <c r="BL150" s="402">
        <f>SUM(BL25,BL47,BL107,BL148+BL149)</f>
        <v>6632954.96</v>
      </c>
      <c r="BM150" s="402">
        <f>SUM(BM25,BM47,BM107,BM148+BM149)</f>
        <v>64648138.98000002</v>
      </c>
      <c r="BN150" s="402">
        <f>SUM(BN25,BN47,BN107,BN148+BN149)</f>
        <v>64556882.98</v>
      </c>
      <c r="BO150" s="402">
        <f t="shared" si="165"/>
        <v>2303901.46</v>
      </c>
      <c r="BP150" s="402">
        <f t="shared" si="165"/>
        <v>2303901.46</v>
      </c>
      <c r="BQ150" s="402">
        <f t="shared" si="165"/>
        <v>2424697.05</v>
      </c>
      <c r="BR150" s="402">
        <f t="shared" si="165"/>
        <v>2424697.05</v>
      </c>
      <c r="BS150" s="402">
        <f aca="true" t="shared" si="166" ref="BS150:BX150">SUM(BS25,BS47,BS107,BS148+BS149)</f>
        <v>65362599.710000016</v>
      </c>
      <c r="BT150" s="402">
        <f>SUM(BT25,BT47,BT107,BT148+BT149)</f>
        <v>65271343.70999999</v>
      </c>
      <c r="BU150" s="402">
        <f t="shared" si="166"/>
        <v>5989670.619999999</v>
      </c>
      <c r="BV150" s="402">
        <f t="shared" si="166"/>
        <v>5989670.619999999</v>
      </c>
      <c r="BW150" s="402">
        <f t="shared" si="166"/>
        <v>11047801.28</v>
      </c>
      <c r="BX150" s="402">
        <f t="shared" si="166"/>
        <v>11047801.28</v>
      </c>
      <c r="BY150" s="402">
        <f aca="true" t="shared" si="167" ref="BY150:CD150">SUM(BY25,BY47,BY107,BY148+BY149)</f>
        <v>72363885.73000002</v>
      </c>
      <c r="BZ150" s="402">
        <f t="shared" si="167"/>
        <v>72272629.72999999</v>
      </c>
      <c r="CA150" s="402">
        <f t="shared" si="167"/>
        <v>46135045.050000004</v>
      </c>
      <c r="CB150" s="402">
        <f t="shared" si="167"/>
        <v>46135045.05</v>
      </c>
      <c r="CC150" s="402">
        <f>SUM(CC25,CC47,CC107,CC148+CC149)</f>
        <v>35134757.51000002</v>
      </c>
      <c r="CD150" s="402">
        <f t="shared" si="167"/>
        <v>35081779.95</v>
      </c>
      <c r="CE150" s="404"/>
      <c r="CF150" s="404"/>
    </row>
    <row r="151" spans="6:82" ht="15.75">
      <c r="F151" s="36">
        <f>SUM(E150-F150)</f>
        <v>7.450580596923828E-09</v>
      </c>
      <c r="H151" s="36">
        <f>SUM(G150-H150)</f>
        <v>0</v>
      </c>
      <c r="I151" s="36"/>
      <c r="J151" s="36">
        <f>+J150-I150</f>
        <v>0</v>
      </c>
      <c r="L151" s="36">
        <f>SUM(K150-L150)</f>
        <v>3.725290298461914E-09</v>
      </c>
      <c r="N151" s="36">
        <f>SUM(M150-N150)</f>
        <v>0</v>
      </c>
      <c r="O151" s="36"/>
      <c r="P151" s="36">
        <f>+P150-O150</f>
        <v>0</v>
      </c>
      <c r="R151" s="36">
        <f>SUM(Q150-R150)</f>
        <v>1.4901161193847656E-08</v>
      </c>
      <c r="T151" s="36">
        <f>SUM(S150-T150)</f>
        <v>0</v>
      </c>
      <c r="U151" s="36"/>
      <c r="V151" s="36">
        <f>SUM(U150-V150)</f>
        <v>0</v>
      </c>
      <c r="X151" s="36">
        <f>SUM(W150-X150)</f>
        <v>1.4901161193847656E-08</v>
      </c>
      <c r="Z151" s="36">
        <f>SUM(Y150-Z150)</f>
        <v>-9.313225746154785E-10</v>
      </c>
      <c r="AA151" s="36"/>
      <c r="AB151" s="36">
        <f>SUM(AA150-AB150)</f>
        <v>0</v>
      </c>
      <c r="AD151" s="36">
        <f>SUM(AC150-AD150)</f>
        <v>1.4901161193847656E-08</v>
      </c>
      <c r="AF151" s="537">
        <f>SUM(AE150-AF150)</f>
        <v>1.862645149230957E-09</v>
      </c>
      <c r="AG151" s="36"/>
      <c r="AH151" s="36">
        <f>SUM(AG150-AH150)</f>
        <v>0</v>
      </c>
      <c r="AJ151" s="36">
        <f>SUM(AI150-AJ150)</f>
        <v>1.4901161193847656E-08</v>
      </c>
      <c r="AL151" s="36">
        <f>SUM(AK150-AL150)</f>
        <v>9.313225746154785E-10</v>
      </c>
      <c r="AM151" s="36"/>
      <c r="AN151" s="36">
        <f>SUM(AM150-AN150)</f>
        <v>0</v>
      </c>
      <c r="AP151" s="36">
        <f>SUM(AO150-AP150)</f>
        <v>7.450580596923828E-09</v>
      </c>
      <c r="AR151" s="36">
        <f>SUM(AQ150-AR150)</f>
        <v>0</v>
      </c>
      <c r="AS151" s="36"/>
      <c r="AT151" s="36">
        <f>SUM(AS150-AT150)</f>
        <v>0</v>
      </c>
      <c r="AV151" s="36">
        <f>SUM(AU150-AV150)</f>
        <v>7.450580596923828E-09</v>
      </c>
      <c r="AX151" s="36">
        <f>SUM(AW150-AX150)</f>
        <v>1.862645149230957E-09</v>
      </c>
      <c r="AY151" s="36"/>
      <c r="AZ151" s="36">
        <f>SUM(AY150-AZ150)</f>
        <v>0</v>
      </c>
      <c r="BB151" s="36">
        <f>SUM(BA150-BB150)</f>
        <v>80760.00000000745</v>
      </c>
      <c r="BD151" s="36">
        <f>SUM(BC150-BD150)</f>
        <v>9.313225746154785E-10</v>
      </c>
      <c r="BE151" s="36"/>
      <c r="BF151" s="36">
        <f>SUM(BE150-BF150)</f>
        <v>0</v>
      </c>
      <c r="BH151" s="36">
        <f>SUM(BG150-BH150)</f>
        <v>80760.00000002235</v>
      </c>
      <c r="BJ151" s="36">
        <f>SUM(BI150-BJ150)</f>
        <v>9.313225746154785E-10</v>
      </c>
      <c r="BK151" s="36"/>
      <c r="BL151" s="36">
        <f>SUM(BK150-BL150)</f>
        <v>0</v>
      </c>
      <c r="BN151" s="36">
        <f>SUM(BM150-BN150)</f>
        <v>91256.00000002235</v>
      </c>
      <c r="BP151" s="36">
        <f>SUM(BO150-BP150)</f>
        <v>0</v>
      </c>
      <c r="BQ151" s="36"/>
      <c r="BR151" s="36">
        <f>SUM(BQ150-BR150)</f>
        <v>0</v>
      </c>
      <c r="BT151" s="36">
        <f>SUM(BS150-BT150)</f>
        <v>91256.00000002235</v>
      </c>
      <c r="BV151" s="36">
        <f>SUM(BU150-BV150)</f>
        <v>0</v>
      </c>
      <c r="BW151" s="36"/>
      <c r="BX151" s="36">
        <f>SUM(BW150-BX150)</f>
        <v>0</v>
      </c>
      <c r="BZ151" s="36">
        <f>SUM(BY150-BZ150)</f>
        <v>91256.0000000298</v>
      </c>
      <c r="CA151" s="36"/>
      <c r="CB151" s="36">
        <f>SUM(CA150-CB150)</f>
        <v>7.450580596923828E-09</v>
      </c>
      <c r="CD151" s="36">
        <f>SUM(CC150-CD150)</f>
        <v>52977.560000017285</v>
      </c>
    </row>
    <row r="152" spans="31:84" ht="15.75">
      <c r="AE152" s="538">
        <f>10435420.07+2896034.57</f>
        <v>13331454.64</v>
      </c>
      <c r="AF152" s="538">
        <f>+AE152-AF150</f>
        <v>0</v>
      </c>
      <c r="BH152" s="7">
        <f>+BG150-BH150</f>
        <v>80760.00000002235</v>
      </c>
      <c r="CF152" s="7">
        <v>29884592.4</v>
      </c>
    </row>
    <row r="153" ht="15.75">
      <c r="AE153" s="538">
        <f>+AE152-AE150</f>
        <v>0</v>
      </c>
    </row>
    <row r="157" ht="15.75">
      <c r="AS157" s="7">
        <f>1660460.63-1657662.43</f>
        <v>2798.1999999999534</v>
      </c>
    </row>
  </sheetData>
  <sheetProtection/>
  <mergeCells count="49">
    <mergeCell ref="CC1:CD1"/>
    <mergeCell ref="BG1:BH1"/>
    <mergeCell ref="BE1:BF1"/>
    <mergeCell ref="BY1:BZ1"/>
    <mergeCell ref="BI1:BJ1"/>
    <mergeCell ref="BM1:BN1"/>
    <mergeCell ref="BO1:BP1"/>
    <mergeCell ref="BS1:BT1"/>
    <mergeCell ref="BK1:BL1"/>
    <mergeCell ref="CA1:CB1"/>
    <mergeCell ref="BQ1:BR1"/>
    <mergeCell ref="BW1:BX1"/>
    <mergeCell ref="BU1:BV1"/>
    <mergeCell ref="AS1:AT1"/>
    <mergeCell ref="AY1:AZ1"/>
    <mergeCell ref="BC1:BD1"/>
    <mergeCell ref="AQ1:AR1"/>
    <mergeCell ref="AU1:AV1"/>
    <mergeCell ref="AW1:AX1"/>
    <mergeCell ref="BA1:BB1"/>
    <mergeCell ref="A150:D150"/>
    <mergeCell ref="A26:D26"/>
    <mergeCell ref="A47:D47"/>
    <mergeCell ref="A48:D48"/>
    <mergeCell ref="A107:D107"/>
    <mergeCell ref="A108:D108"/>
    <mergeCell ref="A148:D148"/>
    <mergeCell ref="A3:D3"/>
    <mergeCell ref="A25:D25"/>
    <mergeCell ref="W1:X1"/>
    <mergeCell ref="S1:T1"/>
    <mergeCell ref="M1:N1"/>
    <mergeCell ref="Q1:R1"/>
    <mergeCell ref="A1:D2"/>
    <mergeCell ref="E1:F1"/>
    <mergeCell ref="G1:H1"/>
    <mergeCell ref="K1:L1"/>
    <mergeCell ref="I1:J1"/>
    <mergeCell ref="O1:P1"/>
    <mergeCell ref="U1:V1"/>
    <mergeCell ref="AO1:AP1"/>
    <mergeCell ref="Y1:Z1"/>
    <mergeCell ref="AC1:AD1"/>
    <mergeCell ref="AE1:AF1"/>
    <mergeCell ref="AI1:AJ1"/>
    <mergeCell ref="AG1:AH1"/>
    <mergeCell ref="AM1:AN1"/>
    <mergeCell ref="AA1:AB1"/>
    <mergeCell ref="AK1:AL1"/>
  </mergeCells>
  <printOptions/>
  <pageMargins left="0.8661417322834646" right="0.1968503937007874" top="1.1811023622047245" bottom="0.1968503937007874" header="0.5905511811023623" footer="0.6299212598425197"/>
  <pageSetup horizontalDpi="300" verticalDpi="300" orientation="landscape" paperSize="9" scale="85" r:id="rId1"/>
  <headerFooter alignWithMargins="0">
    <oddHeader>&amp;C&amp;"TH SarabunPSK,ธรรมดา"&amp;14เทศบาลตำบลเขาพระ อำเภอพิปูน จังหวัดนครศรีธรรมราชงบดุลบัญชีปีงบประมาณ 2557&amp;"Arial,ธรรมดา"&amp;10</oddHeader>
  </headerFooter>
  <rowBreaks count="4" manualBreakCount="4">
    <brk id="30" max="81" man="1"/>
    <brk id="66" max="81" man="1"/>
    <brk id="92" max="81" man="1"/>
    <brk id="118" max="81" man="1"/>
  </rowBreaks>
  <colBreaks count="4" manualBreakCount="4">
    <brk id="30" max="149" man="1"/>
    <brk id="36" max="149" man="1"/>
    <brk id="61" max="147" man="1"/>
    <brk id="72" max="1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BW55"/>
  <sheetViews>
    <sheetView view="pageBreakPreview" zoomScale="110" zoomScaleSheetLayoutView="110" zoomScalePageLayoutView="0" workbookViewId="0" topLeftCell="AB7">
      <selection activeCell="AD15" sqref="AD15"/>
    </sheetView>
  </sheetViews>
  <sheetFormatPr defaultColWidth="9.140625" defaultRowHeight="12.75"/>
  <cols>
    <col min="1" max="1" width="23.57421875" style="6" customWidth="1"/>
    <col min="2" max="2" width="26.57421875" style="6" customWidth="1"/>
    <col min="3" max="3" width="15.00390625" style="6" hidden="1" customWidth="1"/>
    <col min="4" max="4" width="10.57421875" style="6" customWidth="1"/>
    <col min="5" max="5" width="13.421875" style="6" customWidth="1"/>
    <col min="6" max="6" width="13.421875" style="7" customWidth="1"/>
    <col min="7" max="7" width="23.00390625" style="6" customWidth="1"/>
    <col min="8" max="8" width="28.00390625" style="6" customWidth="1"/>
    <col min="9" max="9" width="9.28125" style="6" customWidth="1"/>
    <col min="10" max="10" width="12.7109375" style="6" customWidth="1"/>
    <col min="11" max="11" width="12.8515625" style="7" customWidth="1"/>
    <col min="12" max="12" width="22.8515625" style="6" customWidth="1"/>
    <col min="13" max="13" width="28.28125" style="6" customWidth="1"/>
    <col min="14" max="14" width="10.140625" style="6" customWidth="1"/>
    <col min="15" max="15" width="13.00390625" style="6" customWidth="1"/>
    <col min="16" max="16" width="13.00390625" style="7" customWidth="1"/>
    <col min="17" max="17" width="22.28125" style="6" customWidth="1"/>
    <col min="18" max="18" width="28.00390625" style="6" customWidth="1"/>
    <col min="19" max="19" width="15.00390625" style="6" hidden="1" customWidth="1"/>
    <col min="20" max="20" width="10.140625" style="6" customWidth="1"/>
    <col min="21" max="21" width="12.421875" style="6" bestFit="1" customWidth="1"/>
    <col min="22" max="22" width="12.28125" style="7" bestFit="1" customWidth="1"/>
    <col min="23" max="23" width="24.7109375" style="6" customWidth="1"/>
    <col min="24" max="24" width="27.00390625" style="6" customWidth="1"/>
    <col min="25" max="25" width="15.00390625" style="6" hidden="1" customWidth="1"/>
    <col min="26" max="26" width="10.7109375" style="6" customWidth="1"/>
    <col min="27" max="27" width="13.140625" style="6" customWidth="1"/>
    <col min="28" max="28" width="13.140625" style="7" customWidth="1"/>
    <col min="29" max="29" width="23.421875" style="6" customWidth="1"/>
    <col min="30" max="30" width="28.7109375" style="6" customWidth="1"/>
    <col min="31" max="31" width="11.140625" style="6" customWidth="1"/>
    <col min="32" max="32" width="12.421875" style="6" customWidth="1"/>
    <col min="33" max="33" width="12.140625" style="7" customWidth="1"/>
    <col min="34" max="34" width="26.7109375" style="6" customWidth="1"/>
    <col min="35" max="35" width="25.140625" style="6" customWidth="1"/>
    <col min="36" max="36" width="4.140625" style="6" customWidth="1"/>
    <col min="37" max="37" width="8.421875" style="6" customWidth="1"/>
    <col min="38" max="38" width="12.140625" style="6" customWidth="1"/>
    <col min="39" max="39" width="12.28125" style="7" customWidth="1"/>
    <col min="40" max="40" width="23.8515625" style="6" customWidth="1"/>
    <col min="41" max="41" width="25.140625" style="6" customWidth="1"/>
    <col min="42" max="42" width="4.8515625" style="6" customWidth="1"/>
    <col min="43" max="43" width="10.421875" style="6" customWidth="1"/>
    <col min="44" max="44" width="13.140625" style="6" customWidth="1"/>
    <col min="45" max="45" width="13.00390625" style="7" customWidth="1"/>
    <col min="46" max="46" width="20.140625" style="6" customWidth="1"/>
    <col min="47" max="47" width="25.140625" style="6" customWidth="1"/>
    <col min="48" max="48" width="3.57421875" style="6" customWidth="1"/>
    <col min="49" max="49" width="9.421875" style="6" customWidth="1"/>
    <col min="50" max="50" width="12.28125" style="6" customWidth="1"/>
    <col min="51" max="51" width="12.140625" style="7" customWidth="1"/>
    <col min="52" max="52" width="23.57421875" style="6" customWidth="1"/>
    <col min="53" max="53" width="25.140625" style="6" customWidth="1"/>
    <col min="54" max="54" width="7.8515625" style="6" customWidth="1"/>
    <col min="55" max="55" width="10.421875" style="6" customWidth="1"/>
    <col min="56" max="56" width="12.140625" style="6" customWidth="1"/>
    <col min="57" max="57" width="12.28125" style="7" customWidth="1"/>
    <col min="58" max="58" width="29.8515625" style="6" customWidth="1"/>
    <col min="59" max="59" width="25.140625" style="6" customWidth="1"/>
    <col min="60" max="60" width="1.28515625" style="6" customWidth="1"/>
    <col min="61" max="61" width="11.8515625" style="6" customWidth="1"/>
    <col min="62" max="62" width="13.28125" style="6" customWidth="1"/>
    <col min="63" max="63" width="12.8515625" style="7" customWidth="1"/>
    <col min="64" max="64" width="24.8515625" style="6" customWidth="1"/>
    <col min="65" max="65" width="25.140625" style="6" customWidth="1"/>
    <col min="66" max="66" width="2.140625" style="6" customWidth="1"/>
    <col min="67" max="67" width="10.57421875" style="6" customWidth="1"/>
    <col min="68" max="68" width="12.8515625" style="6" customWidth="1"/>
    <col min="69" max="69" width="13.140625" style="7" customWidth="1"/>
    <col min="70" max="70" width="24.00390625" style="80" customWidth="1"/>
    <col min="71" max="71" width="25.140625" style="80" customWidth="1"/>
    <col min="72" max="72" width="4.57421875" style="80" customWidth="1"/>
    <col min="73" max="73" width="12.7109375" style="80" customWidth="1"/>
    <col min="74" max="74" width="13.421875" style="80" customWidth="1"/>
    <col min="75" max="75" width="14.28125" style="80" customWidth="1"/>
    <col min="76" max="16384" width="9.140625" style="80" customWidth="1"/>
  </cols>
  <sheetData>
    <row r="1" spans="1:75" ht="18.75">
      <c r="A1" s="741" t="s">
        <v>29</v>
      </c>
      <c r="B1" s="741"/>
      <c r="C1" s="741"/>
      <c r="D1" s="741"/>
      <c r="E1" s="741"/>
      <c r="F1" s="741"/>
      <c r="G1" s="741" t="s">
        <v>29</v>
      </c>
      <c r="H1" s="741"/>
      <c r="I1" s="741"/>
      <c r="J1" s="741"/>
      <c r="K1" s="741"/>
      <c r="L1" s="741" t="s">
        <v>29</v>
      </c>
      <c r="M1" s="741"/>
      <c r="N1" s="741"/>
      <c r="O1" s="741"/>
      <c r="P1" s="741"/>
      <c r="Q1" s="741" t="s">
        <v>29</v>
      </c>
      <c r="R1" s="741"/>
      <c r="S1" s="741"/>
      <c r="T1" s="741"/>
      <c r="U1" s="741"/>
      <c r="V1" s="741"/>
      <c r="W1" s="741" t="s">
        <v>29</v>
      </c>
      <c r="X1" s="741"/>
      <c r="Y1" s="741"/>
      <c r="Z1" s="741"/>
      <c r="AA1" s="741"/>
      <c r="AB1" s="741"/>
      <c r="AC1" s="741" t="s">
        <v>29</v>
      </c>
      <c r="AD1" s="741"/>
      <c r="AE1" s="741"/>
      <c r="AF1" s="741"/>
      <c r="AG1" s="741"/>
      <c r="AH1" s="741" t="s">
        <v>29</v>
      </c>
      <c r="AI1" s="741"/>
      <c r="AJ1" s="741"/>
      <c r="AK1" s="741"/>
      <c r="AL1" s="741"/>
      <c r="AM1" s="741"/>
      <c r="AN1" s="741" t="s">
        <v>29</v>
      </c>
      <c r="AO1" s="741"/>
      <c r="AP1" s="741"/>
      <c r="AQ1" s="741"/>
      <c r="AR1" s="741"/>
      <c r="AS1" s="741"/>
      <c r="AT1" s="741" t="s">
        <v>29</v>
      </c>
      <c r="AU1" s="741"/>
      <c r="AV1" s="741"/>
      <c r="AW1" s="741"/>
      <c r="AX1" s="741"/>
      <c r="AY1" s="741"/>
      <c r="AZ1" s="741" t="s">
        <v>29</v>
      </c>
      <c r="BA1" s="741"/>
      <c r="BB1" s="741"/>
      <c r="BC1" s="741"/>
      <c r="BD1" s="741"/>
      <c r="BE1" s="741"/>
      <c r="BF1" s="741" t="s">
        <v>29</v>
      </c>
      <c r="BG1" s="741"/>
      <c r="BH1" s="741"/>
      <c r="BI1" s="741"/>
      <c r="BJ1" s="741"/>
      <c r="BK1" s="741"/>
      <c r="BL1" s="741" t="s">
        <v>29</v>
      </c>
      <c r="BM1" s="741"/>
      <c r="BN1" s="741"/>
      <c r="BO1" s="741"/>
      <c r="BP1" s="741"/>
      <c r="BQ1" s="741"/>
      <c r="BR1" s="700" t="s">
        <v>29</v>
      </c>
      <c r="BS1" s="700"/>
      <c r="BT1" s="700"/>
      <c r="BU1" s="700"/>
      <c r="BV1" s="700"/>
      <c r="BW1" s="700"/>
    </row>
    <row r="2" spans="1:75" ht="18.75">
      <c r="A2" s="741" t="s">
        <v>129</v>
      </c>
      <c r="B2" s="741"/>
      <c r="C2" s="741"/>
      <c r="D2" s="741"/>
      <c r="E2" s="741"/>
      <c r="F2" s="741"/>
      <c r="G2" s="741" t="s">
        <v>129</v>
      </c>
      <c r="H2" s="741"/>
      <c r="I2" s="741"/>
      <c r="J2" s="741"/>
      <c r="K2" s="741"/>
      <c r="L2" s="741" t="s">
        <v>129</v>
      </c>
      <c r="M2" s="741"/>
      <c r="N2" s="741"/>
      <c r="O2" s="741"/>
      <c r="P2" s="741"/>
      <c r="Q2" s="741" t="s">
        <v>129</v>
      </c>
      <c r="R2" s="741"/>
      <c r="S2" s="741"/>
      <c r="T2" s="741"/>
      <c r="U2" s="741"/>
      <c r="V2" s="741"/>
      <c r="W2" s="741" t="s">
        <v>129</v>
      </c>
      <c r="X2" s="741"/>
      <c r="Y2" s="741"/>
      <c r="Z2" s="741"/>
      <c r="AA2" s="741"/>
      <c r="AB2" s="741"/>
      <c r="AC2" s="741" t="s">
        <v>129</v>
      </c>
      <c r="AD2" s="741"/>
      <c r="AE2" s="741"/>
      <c r="AF2" s="741"/>
      <c r="AG2" s="741"/>
      <c r="AH2" s="741" t="s">
        <v>129</v>
      </c>
      <c r="AI2" s="741"/>
      <c r="AJ2" s="741"/>
      <c r="AK2" s="741"/>
      <c r="AL2" s="741"/>
      <c r="AM2" s="741"/>
      <c r="AN2" s="741" t="s">
        <v>129</v>
      </c>
      <c r="AO2" s="741"/>
      <c r="AP2" s="741"/>
      <c r="AQ2" s="741"/>
      <c r="AR2" s="741"/>
      <c r="AS2" s="741"/>
      <c r="AT2" s="741" t="s">
        <v>129</v>
      </c>
      <c r="AU2" s="741"/>
      <c r="AV2" s="741"/>
      <c r="AW2" s="741"/>
      <c r="AX2" s="741"/>
      <c r="AY2" s="741"/>
      <c r="AZ2" s="741" t="s">
        <v>129</v>
      </c>
      <c r="BA2" s="741"/>
      <c r="BB2" s="741"/>
      <c r="BC2" s="741"/>
      <c r="BD2" s="741"/>
      <c r="BE2" s="741"/>
      <c r="BF2" s="741" t="s">
        <v>129</v>
      </c>
      <c r="BG2" s="741"/>
      <c r="BH2" s="741"/>
      <c r="BI2" s="741"/>
      <c r="BJ2" s="741"/>
      <c r="BK2" s="741"/>
      <c r="BL2" s="741" t="s">
        <v>537</v>
      </c>
      <c r="BM2" s="741"/>
      <c r="BN2" s="741"/>
      <c r="BO2" s="741"/>
      <c r="BP2" s="741"/>
      <c r="BQ2" s="741"/>
      <c r="BR2" s="700" t="s">
        <v>383</v>
      </c>
      <c r="BS2" s="700"/>
      <c r="BT2" s="700"/>
      <c r="BU2" s="700"/>
      <c r="BV2" s="700"/>
      <c r="BW2" s="700"/>
    </row>
    <row r="3" spans="1:75" ht="18.75">
      <c r="A3" s="742" t="s">
        <v>585</v>
      </c>
      <c r="B3" s="742"/>
      <c r="C3" s="742"/>
      <c r="D3" s="742"/>
      <c r="E3" s="742"/>
      <c r="F3" s="742"/>
      <c r="G3" s="742" t="s">
        <v>611</v>
      </c>
      <c r="H3" s="742"/>
      <c r="I3" s="742"/>
      <c r="J3" s="742"/>
      <c r="K3" s="742"/>
      <c r="L3" s="742" t="s">
        <v>633</v>
      </c>
      <c r="M3" s="742"/>
      <c r="N3" s="742"/>
      <c r="O3" s="742"/>
      <c r="P3" s="742"/>
      <c r="Q3" s="742" t="s">
        <v>662</v>
      </c>
      <c r="R3" s="742"/>
      <c r="S3" s="742"/>
      <c r="T3" s="742"/>
      <c r="U3" s="742"/>
      <c r="V3" s="742"/>
      <c r="W3" s="742" t="s">
        <v>683</v>
      </c>
      <c r="X3" s="742"/>
      <c r="Y3" s="742"/>
      <c r="Z3" s="742"/>
      <c r="AA3" s="742"/>
      <c r="AB3" s="742"/>
      <c r="AC3" s="742" t="s">
        <v>731</v>
      </c>
      <c r="AD3" s="742"/>
      <c r="AE3" s="742"/>
      <c r="AF3" s="742"/>
      <c r="AG3" s="742"/>
      <c r="AH3" s="742" t="s">
        <v>423</v>
      </c>
      <c r="AI3" s="742"/>
      <c r="AJ3" s="742"/>
      <c r="AK3" s="742"/>
      <c r="AL3" s="742"/>
      <c r="AM3" s="742"/>
      <c r="AN3" s="742" t="s">
        <v>428</v>
      </c>
      <c r="AO3" s="742"/>
      <c r="AP3" s="742"/>
      <c r="AQ3" s="742"/>
      <c r="AR3" s="742"/>
      <c r="AS3" s="742"/>
      <c r="AT3" s="742" t="s">
        <v>429</v>
      </c>
      <c r="AU3" s="742"/>
      <c r="AV3" s="742"/>
      <c r="AW3" s="742"/>
      <c r="AX3" s="742"/>
      <c r="AY3" s="742"/>
      <c r="AZ3" s="742" t="s">
        <v>451</v>
      </c>
      <c r="BA3" s="742"/>
      <c r="BB3" s="742"/>
      <c r="BC3" s="742"/>
      <c r="BD3" s="742"/>
      <c r="BE3" s="742"/>
      <c r="BF3" s="742" t="s">
        <v>477</v>
      </c>
      <c r="BG3" s="742"/>
      <c r="BH3" s="742"/>
      <c r="BI3" s="742"/>
      <c r="BJ3" s="742"/>
      <c r="BK3" s="742"/>
      <c r="BL3" s="742" t="s">
        <v>538</v>
      </c>
      <c r="BM3" s="742"/>
      <c r="BN3" s="742"/>
      <c r="BO3" s="742"/>
      <c r="BP3" s="742"/>
      <c r="BQ3" s="742"/>
      <c r="BR3" s="732" t="s">
        <v>538</v>
      </c>
      <c r="BS3" s="732"/>
      <c r="BT3" s="732"/>
      <c r="BU3" s="732"/>
      <c r="BV3" s="732"/>
      <c r="BW3" s="732"/>
    </row>
    <row r="4" spans="1:75" ht="18.75">
      <c r="A4" s="736" t="s">
        <v>39</v>
      </c>
      <c r="B4" s="737"/>
      <c r="C4" s="738"/>
      <c r="D4" s="68" t="s">
        <v>51</v>
      </c>
      <c r="E4" s="68" t="s">
        <v>40</v>
      </c>
      <c r="F4" s="8" t="s">
        <v>1</v>
      </c>
      <c r="G4" s="736" t="s">
        <v>39</v>
      </c>
      <c r="H4" s="737"/>
      <c r="I4" s="68" t="s">
        <v>51</v>
      </c>
      <c r="J4" s="68" t="s">
        <v>40</v>
      </c>
      <c r="K4" s="8" t="s">
        <v>1</v>
      </c>
      <c r="L4" s="736" t="s">
        <v>39</v>
      </c>
      <c r="M4" s="737"/>
      <c r="N4" s="68" t="s">
        <v>51</v>
      </c>
      <c r="O4" s="68" t="s">
        <v>40</v>
      </c>
      <c r="P4" s="8" t="s">
        <v>1</v>
      </c>
      <c r="Q4" s="736" t="s">
        <v>39</v>
      </c>
      <c r="R4" s="737"/>
      <c r="S4" s="738"/>
      <c r="T4" s="68" t="s">
        <v>51</v>
      </c>
      <c r="U4" s="68" t="s">
        <v>40</v>
      </c>
      <c r="V4" s="8" t="s">
        <v>1</v>
      </c>
      <c r="W4" s="736" t="s">
        <v>39</v>
      </c>
      <c r="X4" s="737"/>
      <c r="Y4" s="738"/>
      <c r="Z4" s="68" t="s">
        <v>51</v>
      </c>
      <c r="AA4" s="68" t="s">
        <v>40</v>
      </c>
      <c r="AB4" s="8" t="s">
        <v>1</v>
      </c>
      <c r="AC4" s="736" t="s">
        <v>39</v>
      </c>
      <c r="AD4" s="737"/>
      <c r="AE4" s="68" t="s">
        <v>51</v>
      </c>
      <c r="AF4" s="68" t="s">
        <v>40</v>
      </c>
      <c r="AG4" s="8" t="s">
        <v>1</v>
      </c>
      <c r="AH4" s="736" t="s">
        <v>39</v>
      </c>
      <c r="AI4" s="737"/>
      <c r="AJ4" s="738"/>
      <c r="AK4" s="68" t="s">
        <v>51</v>
      </c>
      <c r="AL4" s="68" t="s">
        <v>40</v>
      </c>
      <c r="AM4" s="8" t="s">
        <v>1</v>
      </c>
      <c r="AN4" s="736" t="s">
        <v>39</v>
      </c>
      <c r="AO4" s="737"/>
      <c r="AP4" s="738"/>
      <c r="AQ4" s="68" t="s">
        <v>51</v>
      </c>
      <c r="AR4" s="68" t="s">
        <v>40</v>
      </c>
      <c r="AS4" s="8" t="s">
        <v>1</v>
      </c>
      <c r="AT4" s="736" t="s">
        <v>39</v>
      </c>
      <c r="AU4" s="737"/>
      <c r="AV4" s="738"/>
      <c r="AW4" s="68" t="s">
        <v>51</v>
      </c>
      <c r="AX4" s="68" t="s">
        <v>40</v>
      </c>
      <c r="AY4" s="8" t="s">
        <v>1</v>
      </c>
      <c r="AZ4" s="736" t="s">
        <v>39</v>
      </c>
      <c r="BA4" s="737"/>
      <c r="BB4" s="738"/>
      <c r="BC4" s="68" t="s">
        <v>51</v>
      </c>
      <c r="BD4" s="68" t="s">
        <v>40</v>
      </c>
      <c r="BE4" s="8" t="s">
        <v>1</v>
      </c>
      <c r="BF4" s="736" t="s">
        <v>39</v>
      </c>
      <c r="BG4" s="737"/>
      <c r="BH4" s="738"/>
      <c r="BI4" s="68" t="s">
        <v>51</v>
      </c>
      <c r="BJ4" s="68" t="s">
        <v>40</v>
      </c>
      <c r="BK4" s="8" t="s">
        <v>1</v>
      </c>
      <c r="BL4" s="736" t="s">
        <v>39</v>
      </c>
      <c r="BM4" s="737"/>
      <c r="BN4" s="738"/>
      <c r="BO4" s="68" t="s">
        <v>51</v>
      </c>
      <c r="BP4" s="68" t="s">
        <v>40</v>
      </c>
      <c r="BQ4" s="8" t="s">
        <v>1</v>
      </c>
      <c r="BR4" s="733" t="s">
        <v>39</v>
      </c>
      <c r="BS4" s="734"/>
      <c r="BT4" s="735"/>
      <c r="BU4" s="360" t="s">
        <v>51</v>
      </c>
      <c r="BV4" s="360" t="s">
        <v>40</v>
      </c>
      <c r="BW4" s="361" t="s">
        <v>1</v>
      </c>
    </row>
    <row r="5" spans="1:75" ht="18.75">
      <c r="A5" s="20" t="s">
        <v>2</v>
      </c>
      <c r="B5" s="22"/>
      <c r="C5" s="23"/>
      <c r="D5" s="69">
        <v>110100</v>
      </c>
      <c r="E5" s="70">
        <f>SUM(งบดุลบัญชี!K4)</f>
        <v>0</v>
      </c>
      <c r="F5" s="18"/>
      <c r="G5" s="20" t="s">
        <v>2</v>
      </c>
      <c r="H5" s="22"/>
      <c r="I5" s="69">
        <v>110100</v>
      </c>
      <c r="J5" s="70">
        <f>SUM(งบดุลบัญชี!Q4)</f>
        <v>0</v>
      </c>
      <c r="K5" s="18"/>
      <c r="L5" s="20" t="s">
        <v>2</v>
      </c>
      <c r="M5" s="22"/>
      <c r="N5" s="69">
        <v>110100</v>
      </c>
      <c r="O5" s="70">
        <f>SUM(งบดุลบัญชี!W4)</f>
        <v>0</v>
      </c>
      <c r="P5" s="18"/>
      <c r="Q5" s="20" t="s">
        <v>2</v>
      </c>
      <c r="R5" s="22"/>
      <c r="S5" s="23"/>
      <c r="T5" s="69">
        <v>110100</v>
      </c>
      <c r="U5" s="70">
        <f>SUM(งบดุลบัญชี!AC4)</f>
        <v>61.9</v>
      </c>
      <c r="V5" s="18"/>
      <c r="W5" s="20" t="s">
        <v>2</v>
      </c>
      <c r="X5" s="22"/>
      <c r="Y5" s="23"/>
      <c r="Z5" s="69">
        <v>110100</v>
      </c>
      <c r="AA5" s="70">
        <f>SUM(งบดุลบัญชี!AI4)</f>
        <v>600</v>
      </c>
      <c r="AB5" s="18"/>
      <c r="AC5" s="20" t="s">
        <v>2</v>
      </c>
      <c r="AD5" s="22"/>
      <c r="AE5" s="69">
        <v>110100</v>
      </c>
      <c r="AF5" s="588">
        <f>SUM(งบดุลบัญชี!AO4)</f>
        <v>639.8200000000002</v>
      </c>
      <c r="AG5" s="88"/>
      <c r="AH5" s="20" t="s">
        <v>2</v>
      </c>
      <c r="AI5" s="22"/>
      <c r="AJ5" s="23"/>
      <c r="AK5" s="69">
        <v>110100</v>
      </c>
      <c r="AL5" s="70">
        <f>SUM(งบดุลบัญชี!AU4)</f>
        <v>639.8200000000002</v>
      </c>
      <c r="AM5" s="18"/>
      <c r="AN5" s="20" t="s">
        <v>2</v>
      </c>
      <c r="AO5" s="22"/>
      <c r="AP5" s="23"/>
      <c r="AQ5" s="69">
        <v>110100</v>
      </c>
      <c r="AR5" s="70">
        <f>SUM(งบดุลบัญชี!BA4)</f>
        <v>605.1400000000002</v>
      </c>
      <c r="AS5" s="18"/>
      <c r="AT5" s="20" t="s">
        <v>2</v>
      </c>
      <c r="AU5" s="22"/>
      <c r="AV5" s="23"/>
      <c r="AW5" s="69">
        <v>110100</v>
      </c>
      <c r="AX5" s="70">
        <f>SUM(งบดุลบัญชี!BG4)</f>
        <v>1448.1000000000004</v>
      </c>
      <c r="AY5" s="18"/>
      <c r="AZ5" s="20" t="s">
        <v>2</v>
      </c>
      <c r="BA5" s="22"/>
      <c r="BB5" s="23"/>
      <c r="BC5" s="69">
        <v>110100</v>
      </c>
      <c r="BD5" s="70">
        <f>SUM(งบดุลบัญชี!BM4)</f>
        <v>605.1400000000003</v>
      </c>
      <c r="BE5" s="18"/>
      <c r="BF5" s="20" t="s">
        <v>2</v>
      </c>
      <c r="BG5" s="22"/>
      <c r="BH5" s="23"/>
      <c r="BI5" s="69">
        <v>110100</v>
      </c>
      <c r="BJ5" s="70">
        <f>SUM(งบดุลบัญชี!BS4)</f>
        <v>24137.64</v>
      </c>
      <c r="BK5" s="18"/>
      <c r="BL5" s="20" t="s">
        <v>2</v>
      </c>
      <c r="BM5" s="22"/>
      <c r="BN5" s="23"/>
      <c r="BO5" s="69">
        <v>110100</v>
      </c>
      <c r="BP5" s="70">
        <v>5463.61</v>
      </c>
      <c r="BQ5" s="18"/>
      <c r="BR5" s="119" t="s">
        <v>2</v>
      </c>
      <c r="BS5" s="120"/>
      <c r="BT5" s="362"/>
      <c r="BU5" s="363">
        <v>110100</v>
      </c>
      <c r="BV5" s="364">
        <f>+งบดุลบัญชี!CC4</f>
        <v>6068.75</v>
      </c>
      <c r="BW5" s="125"/>
    </row>
    <row r="6" spans="1:75" ht="18.75">
      <c r="A6" s="16" t="s">
        <v>335</v>
      </c>
      <c r="B6" s="21" t="s">
        <v>336</v>
      </c>
      <c r="C6" s="17"/>
      <c r="D6" s="71">
        <v>110201</v>
      </c>
      <c r="E6" s="70">
        <f>SUM(งบดุลบัญชี!K11)</f>
        <v>15406562.51</v>
      </c>
      <c r="F6" s="70" t="s">
        <v>52</v>
      </c>
      <c r="G6" s="16" t="s">
        <v>335</v>
      </c>
      <c r="H6" s="21" t="s">
        <v>336</v>
      </c>
      <c r="I6" s="71">
        <v>110201</v>
      </c>
      <c r="J6" s="70">
        <f>SUM(งบดุลบัญชี!Q11)</f>
        <v>20267386.490000002</v>
      </c>
      <c r="K6" s="70" t="s">
        <v>52</v>
      </c>
      <c r="L6" s="16" t="s">
        <v>335</v>
      </c>
      <c r="M6" s="21" t="s">
        <v>336</v>
      </c>
      <c r="N6" s="71">
        <v>110201</v>
      </c>
      <c r="O6" s="70">
        <f>SUM(งบดุลบัญชี!W11)</f>
        <v>36695426.150000006</v>
      </c>
      <c r="P6" s="70" t="s">
        <v>52</v>
      </c>
      <c r="Q6" s="16" t="s">
        <v>335</v>
      </c>
      <c r="R6" s="21" t="s">
        <v>336</v>
      </c>
      <c r="S6" s="17"/>
      <c r="T6" s="71">
        <v>110201</v>
      </c>
      <c r="U6" s="70">
        <f>SUM(งบดุลบัญชี!AC11)</f>
        <v>28474083.250000007</v>
      </c>
      <c r="V6" s="70" t="s">
        <v>52</v>
      </c>
      <c r="W6" s="16" t="s">
        <v>335</v>
      </c>
      <c r="X6" s="21" t="s">
        <v>336</v>
      </c>
      <c r="Y6" s="17"/>
      <c r="Z6" s="71">
        <v>110201</v>
      </c>
      <c r="AA6" s="70">
        <f>SUM(งบดุลบัญชี!AI11)</f>
        <v>37507266.31000001</v>
      </c>
      <c r="AB6" s="70" t="s">
        <v>52</v>
      </c>
      <c r="AC6" s="16" t="s">
        <v>335</v>
      </c>
      <c r="AD6" s="21" t="s">
        <v>336</v>
      </c>
      <c r="AE6" s="71">
        <v>110201</v>
      </c>
      <c r="AF6" s="588">
        <f>SUM(งบดุลบัญชี!AO11)</f>
        <v>27059916.940000013</v>
      </c>
      <c r="AG6" s="588" t="s">
        <v>52</v>
      </c>
      <c r="AH6" s="16" t="s">
        <v>335</v>
      </c>
      <c r="AI6" s="21" t="s">
        <v>336</v>
      </c>
      <c r="AJ6" s="17"/>
      <c r="AK6" s="71">
        <v>110201</v>
      </c>
      <c r="AL6" s="70">
        <f>SUM(งบดุลบัญชี!AU11)</f>
        <v>27059916.940000013</v>
      </c>
      <c r="AM6" s="70" t="s">
        <v>52</v>
      </c>
      <c r="AN6" s="16" t="s">
        <v>335</v>
      </c>
      <c r="AO6" s="21" t="s">
        <v>336</v>
      </c>
      <c r="AP6" s="17"/>
      <c r="AQ6" s="71">
        <v>110201</v>
      </c>
      <c r="AR6" s="70">
        <f>SUM(งบดุลบัญชี!BA11)</f>
        <v>31003863.920000013</v>
      </c>
      <c r="AS6" s="70" t="s">
        <v>52</v>
      </c>
      <c r="AT6" s="16" t="s">
        <v>335</v>
      </c>
      <c r="AU6" s="21" t="s">
        <v>336</v>
      </c>
      <c r="AV6" s="17"/>
      <c r="AW6" s="71">
        <v>110201</v>
      </c>
      <c r="AX6" s="70">
        <f>SUM(งบดุลบัญชี!BG11)</f>
        <v>31449161.860000014</v>
      </c>
      <c r="AY6" s="70" t="s">
        <v>52</v>
      </c>
      <c r="AZ6" s="16" t="s">
        <v>335</v>
      </c>
      <c r="BA6" s="21" t="s">
        <v>336</v>
      </c>
      <c r="BB6" s="17"/>
      <c r="BC6" s="71">
        <v>110201</v>
      </c>
      <c r="BD6" s="70">
        <f>SUM(งบดุลบัญชี!BM11)</f>
        <v>32898290.750000015</v>
      </c>
      <c r="BE6" s="70" t="s">
        <v>52</v>
      </c>
      <c r="BF6" s="16" t="s">
        <v>335</v>
      </c>
      <c r="BG6" s="21" t="s">
        <v>336</v>
      </c>
      <c r="BH6" s="17"/>
      <c r="BI6" s="71">
        <v>110201</v>
      </c>
      <c r="BJ6" s="70">
        <f>SUM(งบดุลบัญชี!BS11)</f>
        <v>33063015.150000013</v>
      </c>
      <c r="BK6" s="70" t="s">
        <v>52</v>
      </c>
      <c r="BL6" s="16" t="s">
        <v>335</v>
      </c>
      <c r="BM6" s="21" t="s">
        <v>336</v>
      </c>
      <c r="BN6" s="17"/>
      <c r="BO6" s="71">
        <v>110201</v>
      </c>
      <c r="BP6" s="70">
        <f>SUM(งบดุลบัญชี!BY11)</f>
        <v>33779668.530000016</v>
      </c>
      <c r="BQ6" s="70" t="s">
        <v>52</v>
      </c>
      <c r="BR6" s="123" t="s">
        <v>335</v>
      </c>
      <c r="BS6" s="124" t="s">
        <v>371</v>
      </c>
      <c r="BT6" s="126"/>
      <c r="BU6" s="365">
        <v>110201</v>
      </c>
      <c r="BV6" s="364">
        <f>+งบดุลบัญชี!CC11</f>
        <v>33779668.530000016</v>
      </c>
      <c r="BW6" s="364" t="s">
        <v>52</v>
      </c>
    </row>
    <row r="7" spans="1:75" ht="18.75">
      <c r="A7" s="16" t="s">
        <v>337</v>
      </c>
      <c r="B7" s="21" t="s">
        <v>338</v>
      </c>
      <c r="C7" s="17"/>
      <c r="D7" s="71">
        <v>110201</v>
      </c>
      <c r="E7" s="18">
        <f>SUM(งบดุลบัญชี!K14)</f>
        <v>9950972.92</v>
      </c>
      <c r="F7" s="18" t="s">
        <v>54</v>
      </c>
      <c r="G7" s="16" t="s">
        <v>337</v>
      </c>
      <c r="H7" s="21" t="s">
        <v>338</v>
      </c>
      <c r="I7" s="71">
        <v>110201</v>
      </c>
      <c r="J7" s="18">
        <f>SUM(งบดุลบัญชี!Q14)</f>
        <v>7246312.0600000005</v>
      </c>
      <c r="K7" s="18" t="s">
        <v>54</v>
      </c>
      <c r="L7" s="16" t="s">
        <v>337</v>
      </c>
      <c r="M7" s="21" t="s">
        <v>338</v>
      </c>
      <c r="N7" s="71">
        <v>110201</v>
      </c>
      <c r="O7" s="18">
        <f>SUM(งบดุลบัญชี!W14)</f>
        <v>4975134.7700000005</v>
      </c>
      <c r="P7" s="18" t="s">
        <v>54</v>
      </c>
      <c r="Q7" s="16" t="s">
        <v>337</v>
      </c>
      <c r="R7" s="21" t="s">
        <v>338</v>
      </c>
      <c r="S7" s="17"/>
      <c r="T7" s="71">
        <v>110201</v>
      </c>
      <c r="U7" s="18">
        <f>SUM(งบดุลบัญชี!AC14)</f>
        <v>12012911.32</v>
      </c>
      <c r="V7" s="18" t="s">
        <v>54</v>
      </c>
      <c r="W7" s="16" t="s">
        <v>337</v>
      </c>
      <c r="X7" s="21" t="s">
        <v>338</v>
      </c>
      <c r="Y7" s="17"/>
      <c r="Z7" s="71">
        <v>110201</v>
      </c>
      <c r="AA7" s="70">
        <f>SUM(งบดุลบัญชี!AI14)</f>
        <v>10525444.28</v>
      </c>
      <c r="AB7" s="18" t="s">
        <v>54</v>
      </c>
      <c r="AC7" s="16" t="s">
        <v>337</v>
      </c>
      <c r="AD7" s="21" t="s">
        <v>338</v>
      </c>
      <c r="AE7" s="71">
        <v>110201</v>
      </c>
      <c r="AF7" s="588">
        <f>SUM(งบดุลบัญชี!AO14)</f>
        <v>15481574.810000002</v>
      </c>
      <c r="AG7" s="88" t="s">
        <v>54</v>
      </c>
      <c r="AH7" s="16" t="s">
        <v>337</v>
      </c>
      <c r="AI7" s="21" t="s">
        <v>338</v>
      </c>
      <c r="AJ7" s="17"/>
      <c r="AK7" s="71">
        <v>110201</v>
      </c>
      <c r="AL7" s="70">
        <f>SUM(งบดุลบัญชี!AU14)</f>
        <v>15481574.810000002</v>
      </c>
      <c r="AM7" s="18" t="s">
        <v>54</v>
      </c>
      <c r="AN7" s="16" t="s">
        <v>337</v>
      </c>
      <c r="AO7" s="21" t="s">
        <v>338</v>
      </c>
      <c r="AP7" s="17"/>
      <c r="AQ7" s="71">
        <v>110201</v>
      </c>
      <c r="AR7" s="70">
        <f>SUM(งบดุลบัญชี!BA14)</f>
        <v>12630537.680000003</v>
      </c>
      <c r="AS7" s="18" t="s">
        <v>54</v>
      </c>
      <c r="AT7" s="16" t="s">
        <v>337</v>
      </c>
      <c r="AU7" s="21" t="s">
        <v>338</v>
      </c>
      <c r="AV7" s="17"/>
      <c r="AW7" s="71">
        <v>110201</v>
      </c>
      <c r="AX7" s="70">
        <f>SUM(งบดุลบัญชี!BG14)</f>
        <v>9482865.950000003</v>
      </c>
      <c r="AY7" s="18" t="s">
        <v>54</v>
      </c>
      <c r="AZ7" s="16" t="s">
        <v>337</v>
      </c>
      <c r="BA7" s="21" t="s">
        <v>338</v>
      </c>
      <c r="BB7" s="17"/>
      <c r="BC7" s="71">
        <v>110201</v>
      </c>
      <c r="BD7" s="70">
        <f>SUM(งบดุลบัญชี!BM14)</f>
        <v>4410924.870000003</v>
      </c>
      <c r="BE7" s="18" t="s">
        <v>54</v>
      </c>
      <c r="BF7" s="16" t="s">
        <v>337</v>
      </c>
      <c r="BG7" s="21" t="s">
        <v>338</v>
      </c>
      <c r="BH7" s="17"/>
      <c r="BI7" s="71">
        <v>110201</v>
      </c>
      <c r="BJ7" s="70">
        <f>SUM(งบดุลบัญชี!BS14)</f>
        <v>3648602.030000003</v>
      </c>
      <c r="BK7" s="18" t="s">
        <v>54</v>
      </c>
      <c r="BL7" s="16" t="s">
        <v>337</v>
      </c>
      <c r="BM7" s="21" t="s">
        <v>338</v>
      </c>
      <c r="BN7" s="17"/>
      <c r="BO7" s="71">
        <v>110201</v>
      </c>
      <c r="BP7" s="70">
        <f>SUM(งบดุลบัญชี!BY14)</f>
        <v>-47351.55999999726</v>
      </c>
      <c r="BQ7" s="18" t="s">
        <v>54</v>
      </c>
      <c r="BR7" s="123" t="s">
        <v>337</v>
      </c>
      <c r="BS7" s="124" t="s">
        <v>338</v>
      </c>
      <c r="BT7" s="126"/>
      <c r="BU7" s="365">
        <v>110201</v>
      </c>
      <c r="BV7" s="364">
        <f>+งบดุลบัญชี!CC14</f>
        <v>-47351.55999999726</v>
      </c>
      <c r="BW7" s="125" t="s">
        <v>54</v>
      </c>
    </row>
    <row r="8" spans="1:75" ht="18.75">
      <c r="A8" s="16" t="s">
        <v>337</v>
      </c>
      <c r="B8" s="21" t="s">
        <v>339</v>
      </c>
      <c r="C8" s="17"/>
      <c r="D8" s="71">
        <v>110201</v>
      </c>
      <c r="E8" s="18">
        <f>SUM(งบดุลบัญชี!K15)</f>
        <v>9358.67</v>
      </c>
      <c r="F8" s="18" t="s">
        <v>54</v>
      </c>
      <c r="G8" s="16" t="s">
        <v>337</v>
      </c>
      <c r="H8" s="21" t="s">
        <v>339</v>
      </c>
      <c r="I8" s="71">
        <v>110201</v>
      </c>
      <c r="J8" s="18">
        <f>SUM(งบดุลบัญชี!Q15)</f>
        <v>12507.28</v>
      </c>
      <c r="K8" s="18" t="s">
        <v>54</v>
      </c>
      <c r="L8" s="16" t="s">
        <v>337</v>
      </c>
      <c r="M8" s="21" t="s">
        <v>339</v>
      </c>
      <c r="N8" s="71">
        <v>110201</v>
      </c>
      <c r="O8" s="18">
        <f>SUM(งบดุลบัญชี!W15)</f>
        <v>12507.28</v>
      </c>
      <c r="P8" s="18" t="s">
        <v>54</v>
      </c>
      <c r="Q8" s="16" t="s">
        <v>337</v>
      </c>
      <c r="R8" s="21" t="s">
        <v>339</v>
      </c>
      <c r="S8" s="17"/>
      <c r="T8" s="71">
        <v>110201</v>
      </c>
      <c r="U8" s="18">
        <f>SUM(งบดุลบัญชี!AC15)</f>
        <v>12507.28</v>
      </c>
      <c r="V8" s="18" t="s">
        <v>54</v>
      </c>
      <c r="W8" s="16" t="s">
        <v>337</v>
      </c>
      <c r="X8" s="21" t="s">
        <v>339</v>
      </c>
      <c r="Y8" s="17"/>
      <c r="Z8" s="71">
        <v>110201</v>
      </c>
      <c r="AA8" s="70">
        <f>SUM(งบดุลบัญชี!AI15)</f>
        <v>18712.98</v>
      </c>
      <c r="AB8" s="18" t="s">
        <v>54</v>
      </c>
      <c r="AC8" s="16" t="s">
        <v>337</v>
      </c>
      <c r="AD8" s="21" t="s">
        <v>339</v>
      </c>
      <c r="AE8" s="71">
        <v>110201</v>
      </c>
      <c r="AF8" s="588">
        <f>SUM(งบดุลบัญชี!AO15)</f>
        <v>18712.98</v>
      </c>
      <c r="AG8" s="88" t="s">
        <v>54</v>
      </c>
      <c r="AH8" s="16" t="s">
        <v>337</v>
      </c>
      <c r="AI8" s="21" t="s">
        <v>339</v>
      </c>
      <c r="AJ8" s="17"/>
      <c r="AK8" s="71">
        <v>110201</v>
      </c>
      <c r="AL8" s="70">
        <f>SUM(งบดุลบัญชี!AU15)</f>
        <v>18712.98</v>
      </c>
      <c r="AM8" s="18" t="s">
        <v>54</v>
      </c>
      <c r="AN8" s="16" t="s">
        <v>337</v>
      </c>
      <c r="AO8" s="21" t="s">
        <v>339</v>
      </c>
      <c r="AP8" s="17"/>
      <c r="AQ8" s="71">
        <v>110201</v>
      </c>
      <c r="AR8" s="70">
        <f>SUM(งบดุลบัญชี!BA15)</f>
        <v>18712.98</v>
      </c>
      <c r="AS8" s="18" t="s">
        <v>54</v>
      </c>
      <c r="AT8" s="16" t="s">
        <v>337</v>
      </c>
      <c r="AU8" s="21" t="s">
        <v>339</v>
      </c>
      <c r="AV8" s="17"/>
      <c r="AW8" s="71">
        <v>110201</v>
      </c>
      <c r="AX8" s="70">
        <f>SUM(งบดุลบัญชี!BG15)</f>
        <v>18712.98</v>
      </c>
      <c r="AY8" s="18" t="s">
        <v>54</v>
      </c>
      <c r="AZ8" s="16" t="s">
        <v>337</v>
      </c>
      <c r="BA8" s="21" t="s">
        <v>339</v>
      </c>
      <c r="BB8" s="17"/>
      <c r="BC8" s="71">
        <v>110201</v>
      </c>
      <c r="BD8" s="70">
        <f>SUM(งบดุลบัญชี!BM15)</f>
        <v>-29579.35</v>
      </c>
      <c r="BE8" s="18" t="s">
        <v>54</v>
      </c>
      <c r="BF8" s="16" t="s">
        <v>337</v>
      </c>
      <c r="BG8" s="21" t="s">
        <v>339</v>
      </c>
      <c r="BH8" s="17"/>
      <c r="BI8" s="71">
        <v>110201</v>
      </c>
      <c r="BJ8" s="70">
        <f>SUM(งบดุลบัญชี!BS15)</f>
        <v>-29579.35</v>
      </c>
      <c r="BK8" s="18" t="s">
        <v>54</v>
      </c>
      <c r="BL8" s="16" t="s">
        <v>337</v>
      </c>
      <c r="BM8" s="21" t="s">
        <v>339</v>
      </c>
      <c r="BN8" s="17"/>
      <c r="BO8" s="71">
        <v>110201</v>
      </c>
      <c r="BP8" s="70">
        <f>SUM(งบดุลบัญชี!BY15)</f>
        <v>-27800.719999999998</v>
      </c>
      <c r="BQ8" s="18" t="s">
        <v>54</v>
      </c>
      <c r="BR8" s="123" t="s">
        <v>337</v>
      </c>
      <c r="BS8" s="124" t="s">
        <v>339</v>
      </c>
      <c r="BT8" s="126"/>
      <c r="BU8" s="365">
        <v>110201</v>
      </c>
      <c r="BV8" s="364">
        <f>+งบดุลบัญชี!CC15</f>
        <v>-27800.719999999998</v>
      </c>
      <c r="BW8" s="125" t="s">
        <v>54</v>
      </c>
    </row>
    <row r="9" spans="1:75" ht="18.75">
      <c r="A9" s="16" t="s">
        <v>57</v>
      </c>
      <c r="B9" s="21"/>
      <c r="C9" s="17"/>
      <c r="D9" s="72">
        <v>110602</v>
      </c>
      <c r="E9" s="70">
        <f>SUM(งบดุลบัญชี!K18)</f>
        <v>12592.81</v>
      </c>
      <c r="F9" s="18"/>
      <c r="G9" s="16" t="s">
        <v>57</v>
      </c>
      <c r="H9" s="21"/>
      <c r="I9" s="72">
        <v>110602</v>
      </c>
      <c r="J9" s="70">
        <f>SUM(งบดุลบัญชี!Q18)</f>
        <v>12235.029999999999</v>
      </c>
      <c r="K9" s="18"/>
      <c r="L9" s="16" t="s">
        <v>57</v>
      </c>
      <c r="M9" s="21"/>
      <c r="N9" s="72">
        <v>110602</v>
      </c>
      <c r="O9" s="70">
        <f>SUM(งบดุลบัญชี!W18)</f>
        <v>12235.029999999999</v>
      </c>
      <c r="P9" s="18"/>
      <c r="Q9" s="16" t="s">
        <v>57</v>
      </c>
      <c r="R9" s="21"/>
      <c r="S9" s="17"/>
      <c r="T9" s="72">
        <v>110602</v>
      </c>
      <c r="U9" s="70">
        <f>SUM(งบดุลบัญชี!AC18)</f>
        <v>12235.029999999999</v>
      </c>
      <c r="V9" s="18"/>
      <c r="W9" s="16" t="s">
        <v>57</v>
      </c>
      <c r="X9" s="21"/>
      <c r="Y9" s="17"/>
      <c r="Z9" s="72">
        <v>110602</v>
      </c>
      <c r="AA9" s="70">
        <f>SUM(งบดุลบัญชี!AI18)</f>
        <v>12165.88</v>
      </c>
      <c r="AB9" s="18"/>
      <c r="AC9" s="16" t="s">
        <v>57</v>
      </c>
      <c r="AD9" s="21"/>
      <c r="AE9" s="72">
        <v>110602</v>
      </c>
      <c r="AF9" s="588">
        <f>SUM(งบดุลบัญชี!AO18)</f>
        <v>12165.88</v>
      </c>
      <c r="AG9" s="88"/>
      <c r="AH9" s="16" t="s">
        <v>57</v>
      </c>
      <c r="AI9" s="21"/>
      <c r="AJ9" s="17"/>
      <c r="AK9" s="72">
        <v>110602</v>
      </c>
      <c r="AL9" s="70">
        <f>SUM(งบดุลบัญชี!AU18)</f>
        <v>12165.88</v>
      </c>
      <c r="AM9" s="18"/>
      <c r="AN9" s="16" t="s">
        <v>57</v>
      </c>
      <c r="AO9" s="21"/>
      <c r="AP9" s="17"/>
      <c r="AQ9" s="72">
        <v>110602</v>
      </c>
      <c r="AR9" s="70">
        <f>SUM(งบดุลบัญชี!BA18)</f>
        <v>11267.05</v>
      </c>
      <c r="AS9" s="18"/>
      <c r="AT9" s="16" t="s">
        <v>57</v>
      </c>
      <c r="AU9" s="21"/>
      <c r="AV9" s="17"/>
      <c r="AW9" s="72">
        <v>110602</v>
      </c>
      <c r="AX9" s="70">
        <f>SUM(งบดุลบัญชี!BG18)</f>
        <v>10386.019999999999</v>
      </c>
      <c r="AY9" s="18"/>
      <c r="AZ9" s="16" t="s">
        <v>57</v>
      </c>
      <c r="BA9" s="21"/>
      <c r="BB9" s="17"/>
      <c r="BC9" s="72">
        <v>110602</v>
      </c>
      <c r="BD9" s="70">
        <f>SUM(งบดุลบัญชี!BM18)</f>
        <v>9450.319999999998</v>
      </c>
      <c r="BE9" s="18"/>
      <c r="BF9" s="16" t="s">
        <v>57</v>
      </c>
      <c r="BG9" s="21"/>
      <c r="BH9" s="17"/>
      <c r="BI9" s="72">
        <v>110602</v>
      </c>
      <c r="BJ9" s="70">
        <f>SUM(งบดุลบัญชี!BS18)</f>
        <v>9370.389999999998</v>
      </c>
      <c r="BK9" s="18"/>
      <c r="BL9" s="16" t="s">
        <v>57</v>
      </c>
      <c r="BM9" s="21"/>
      <c r="BN9" s="17"/>
      <c r="BO9" s="72">
        <v>110602</v>
      </c>
      <c r="BP9" s="70">
        <f>SUM(งบดุลบัญชี!BY18)</f>
        <v>10451.379999999997</v>
      </c>
      <c r="BQ9" s="18"/>
      <c r="BR9" s="123" t="s">
        <v>57</v>
      </c>
      <c r="BS9" s="124"/>
      <c r="BT9" s="126"/>
      <c r="BU9" s="146">
        <v>110602</v>
      </c>
      <c r="BV9" s="364">
        <f>+งบดุลบัญชี!CC18</f>
        <v>10451.379999999997</v>
      </c>
      <c r="BW9" s="125"/>
    </row>
    <row r="10" spans="1:75" ht="18.75">
      <c r="A10" s="16" t="s">
        <v>60</v>
      </c>
      <c r="B10" s="21"/>
      <c r="C10" s="17"/>
      <c r="D10" s="71">
        <v>110604</v>
      </c>
      <c r="E10" s="70">
        <f>SUM(งบดุลบัญชี!K19)</f>
        <v>184236.86</v>
      </c>
      <c r="F10" s="18" t="s">
        <v>52</v>
      </c>
      <c r="G10" s="16" t="s">
        <v>60</v>
      </c>
      <c r="H10" s="21"/>
      <c r="I10" s="71">
        <v>110604</v>
      </c>
      <c r="J10" s="70">
        <f>SUM(งบดุลบัญชี!Q19)</f>
        <v>184141.86</v>
      </c>
      <c r="K10" s="18" t="s">
        <v>52</v>
      </c>
      <c r="L10" s="16" t="s">
        <v>60</v>
      </c>
      <c r="M10" s="21"/>
      <c r="N10" s="71">
        <v>110604</v>
      </c>
      <c r="O10" s="70">
        <f>SUM(งบดุลบัญชี!W19)</f>
        <v>184141.86</v>
      </c>
      <c r="P10" s="18" t="s">
        <v>52</v>
      </c>
      <c r="Q10" s="16" t="s">
        <v>60</v>
      </c>
      <c r="R10" s="21"/>
      <c r="S10" s="17"/>
      <c r="T10" s="71">
        <v>110604</v>
      </c>
      <c r="U10" s="70">
        <f>SUM(งบดุลบัญชี!AC19)</f>
        <v>184141.86</v>
      </c>
      <c r="V10" s="18" t="s">
        <v>52</v>
      </c>
      <c r="W10" s="16" t="s">
        <v>60</v>
      </c>
      <c r="X10" s="21"/>
      <c r="Y10" s="17"/>
      <c r="Z10" s="71">
        <v>110604</v>
      </c>
      <c r="AA10" s="70">
        <f>SUM(งบดุลบัญชี!AI19)</f>
        <v>184141.86</v>
      </c>
      <c r="AB10" s="18" t="s">
        <v>52</v>
      </c>
      <c r="AC10" s="16" t="s">
        <v>60</v>
      </c>
      <c r="AD10" s="21"/>
      <c r="AE10" s="71">
        <v>110604</v>
      </c>
      <c r="AF10" s="588">
        <f>SUM(งบดุลบัญชี!AO19)</f>
        <v>184141.86</v>
      </c>
      <c r="AG10" s="88" t="s">
        <v>52</v>
      </c>
      <c r="AH10" s="16" t="s">
        <v>60</v>
      </c>
      <c r="AI10" s="21"/>
      <c r="AJ10" s="17"/>
      <c r="AK10" s="71">
        <v>110604</v>
      </c>
      <c r="AL10" s="70">
        <f>SUM(งบดุลบัญชี!AU19)</f>
        <v>184141.86</v>
      </c>
      <c r="AM10" s="18" t="s">
        <v>52</v>
      </c>
      <c r="AN10" s="16" t="s">
        <v>60</v>
      </c>
      <c r="AO10" s="21"/>
      <c r="AP10" s="17"/>
      <c r="AQ10" s="71">
        <v>110604</v>
      </c>
      <c r="AR10" s="70">
        <f>SUM(งบดุลบัญชี!BA19)</f>
        <v>184141.86</v>
      </c>
      <c r="AS10" s="18" t="s">
        <v>52</v>
      </c>
      <c r="AT10" s="16" t="s">
        <v>60</v>
      </c>
      <c r="AU10" s="21"/>
      <c r="AV10" s="17"/>
      <c r="AW10" s="71">
        <v>110604</v>
      </c>
      <c r="AX10" s="70">
        <f>SUM(งบดุลบัญชี!BG19)</f>
        <v>184141.86</v>
      </c>
      <c r="AY10" s="18" t="s">
        <v>52</v>
      </c>
      <c r="AZ10" s="16" t="s">
        <v>60</v>
      </c>
      <c r="BA10" s="21"/>
      <c r="BB10" s="17"/>
      <c r="BC10" s="71">
        <v>110604</v>
      </c>
      <c r="BD10" s="70">
        <f>SUM(งบดุลบัญชี!BM19)</f>
        <v>184506.86</v>
      </c>
      <c r="BE10" s="18" t="s">
        <v>52</v>
      </c>
      <c r="BF10" s="16" t="s">
        <v>60</v>
      </c>
      <c r="BG10" s="21"/>
      <c r="BH10" s="17"/>
      <c r="BI10" s="71">
        <v>110604</v>
      </c>
      <c r="BJ10" s="70">
        <f>SUM(งบดุลบัญชี!BS19)</f>
        <v>184506.86</v>
      </c>
      <c r="BK10" s="18" t="s">
        <v>52</v>
      </c>
      <c r="BL10" s="16" t="s">
        <v>60</v>
      </c>
      <c r="BM10" s="21"/>
      <c r="BN10" s="17"/>
      <c r="BO10" s="71">
        <v>110604</v>
      </c>
      <c r="BP10" s="70">
        <f>SUM(งบดุลบัญชี!BY19)</f>
        <v>207506.66999999998</v>
      </c>
      <c r="BQ10" s="18" t="s">
        <v>52</v>
      </c>
      <c r="BR10" s="123" t="s">
        <v>60</v>
      </c>
      <c r="BS10" s="124"/>
      <c r="BT10" s="126"/>
      <c r="BU10" s="365">
        <v>110604</v>
      </c>
      <c r="BV10" s="364">
        <f>+งบดุลบัญชี!CC19</f>
        <v>207506.66999999998</v>
      </c>
      <c r="BW10" s="125" t="s">
        <v>52</v>
      </c>
    </row>
    <row r="11" spans="1:75" ht="18.75">
      <c r="A11" s="16" t="s">
        <v>56</v>
      </c>
      <c r="B11" s="21"/>
      <c r="C11" s="17"/>
      <c r="D11" s="71">
        <v>110605</v>
      </c>
      <c r="E11" s="70">
        <f>SUM(งบดุลบัญชี!K20)</f>
        <v>141350</v>
      </c>
      <c r="F11" s="18"/>
      <c r="G11" s="16" t="s">
        <v>56</v>
      </c>
      <c r="H11" s="21"/>
      <c r="I11" s="71">
        <v>110605</v>
      </c>
      <c r="J11" s="70">
        <f>SUM(งบดุลบัญชี!Q20)</f>
        <v>37340</v>
      </c>
      <c r="K11" s="18"/>
      <c r="L11" s="16" t="s">
        <v>56</v>
      </c>
      <c r="M11" s="21"/>
      <c r="N11" s="71">
        <v>110605</v>
      </c>
      <c r="O11" s="70">
        <f>SUM(งบดุลบัญชี!W20)</f>
        <v>13960</v>
      </c>
      <c r="P11" s="18"/>
      <c r="Q11" s="16" t="s">
        <v>56</v>
      </c>
      <c r="R11" s="21"/>
      <c r="S11" s="17"/>
      <c r="T11" s="71">
        <v>110605</v>
      </c>
      <c r="U11" s="70">
        <f>SUM(งบดุลบัญชี!AC20)</f>
        <v>0</v>
      </c>
      <c r="V11" s="18"/>
      <c r="W11" s="16" t="s">
        <v>56</v>
      </c>
      <c r="X11" s="21"/>
      <c r="Y11" s="17"/>
      <c r="Z11" s="71">
        <v>110605</v>
      </c>
      <c r="AA11" s="70">
        <f>SUM(งบดุลบัญชี!AI20)</f>
        <v>0</v>
      </c>
      <c r="AB11" s="18"/>
      <c r="AC11" s="16" t="s">
        <v>56</v>
      </c>
      <c r="AD11" s="21"/>
      <c r="AE11" s="71">
        <v>110605</v>
      </c>
      <c r="AF11" s="588">
        <f>SUM(งบดุลบัญชี!AO20)</f>
        <v>15640</v>
      </c>
      <c r="AG11" s="88"/>
      <c r="AH11" s="16" t="s">
        <v>56</v>
      </c>
      <c r="AI11" s="21"/>
      <c r="AJ11" s="17"/>
      <c r="AK11" s="71">
        <v>110605</v>
      </c>
      <c r="AL11" s="70">
        <f>SUM(งบดุลบัญชี!AU20)</f>
        <v>15640</v>
      </c>
      <c r="AM11" s="18"/>
      <c r="AN11" s="16" t="s">
        <v>56</v>
      </c>
      <c r="AO11" s="21"/>
      <c r="AP11" s="17"/>
      <c r="AQ11" s="71">
        <v>110605</v>
      </c>
      <c r="AR11" s="70">
        <f>SUM(งบดุลบัญชี!BA20)</f>
        <v>-3680</v>
      </c>
      <c r="AS11" s="18"/>
      <c r="AT11" s="16" t="s">
        <v>56</v>
      </c>
      <c r="AU11" s="21"/>
      <c r="AV11" s="17"/>
      <c r="AW11" s="71">
        <v>110605</v>
      </c>
      <c r="AX11" s="70">
        <f>SUM(งบดุลบัญชี!BG20)</f>
        <v>11150</v>
      </c>
      <c r="AY11" s="18"/>
      <c r="AZ11" s="16" t="s">
        <v>56</v>
      </c>
      <c r="BA11" s="21"/>
      <c r="BB11" s="17"/>
      <c r="BC11" s="71">
        <v>110605</v>
      </c>
      <c r="BD11" s="70">
        <f>SUM(งบดุลบัญชี!BM20)</f>
        <v>7470</v>
      </c>
      <c r="BE11" s="18"/>
      <c r="BF11" s="16" t="s">
        <v>56</v>
      </c>
      <c r="BG11" s="21"/>
      <c r="BH11" s="17"/>
      <c r="BI11" s="71">
        <v>110605</v>
      </c>
      <c r="BJ11" s="70">
        <f>SUM(งบดุลบัญชี!BS20)</f>
        <v>-123193</v>
      </c>
      <c r="BK11" s="18"/>
      <c r="BL11" s="16" t="s">
        <v>56</v>
      </c>
      <c r="BM11" s="21"/>
      <c r="BN11" s="17"/>
      <c r="BO11" s="71">
        <v>110605</v>
      </c>
      <c r="BP11" s="70">
        <f>SUM(งบดุลบัญชี!BY20)</f>
        <v>-126793</v>
      </c>
      <c r="BQ11" s="18"/>
      <c r="BR11" s="123" t="s">
        <v>56</v>
      </c>
      <c r="BS11" s="124"/>
      <c r="BT11" s="126"/>
      <c r="BU11" s="365">
        <v>110605</v>
      </c>
      <c r="BV11" s="364">
        <f>+งบดุลบัญชี!CC20</f>
        <v>-126793</v>
      </c>
      <c r="BW11" s="125"/>
    </row>
    <row r="12" spans="1:75" ht="18.75">
      <c r="A12" s="16" t="s">
        <v>55</v>
      </c>
      <c r="B12" s="21"/>
      <c r="C12" s="17"/>
      <c r="D12" s="71">
        <v>110606</v>
      </c>
      <c r="E12" s="70">
        <f>SUM(งบดุลบัญชี!K21)</f>
        <v>1039900</v>
      </c>
      <c r="F12" s="18"/>
      <c r="G12" s="16" t="s">
        <v>55</v>
      </c>
      <c r="H12" s="21"/>
      <c r="I12" s="71">
        <v>110606</v>
      </c>
      <c r="J12" s="70">
        <f>SUM(งบดุลบัญชี!Q21)</f>
        <v>2018740</v>
      </c>
      <c r="K12" s="18"/>
      <c r="L12" s="16" t="s">
        <v>55</v>
      </c>
      <c r="M12" s="21"/>
      <c r="N12" s="71">
        <v>110606</v>
      </c>
      <c r="O12" s="70">
        <f>SUM(งบดุลบัญชี!W21)</f>
        <v>350880</v>
      </c>
      <c r="P12" s="18"/>
      <c r="Q12" s="16" t="s">
        <v>55</v>
      </c>
      <c r="R12" s="21"/>
      <c r="S12" s="17"/>
      <c r="T12" s="71">
        <v>110606</v>
      </c>
      <c r="U12" s="70">
        <f>SUM(งบดุลบัญชี!AC21)</f>
        <v>448320</v>
      </c>
      <c r="V12" s="18"/>
      <c r="W12" s="16" t="s">
        <v>55</v>
      </c>
      <c r="X12" s="21"/>
      <c r="Y12" s="17"/>
      <c r="Z12" s="71">
        <v>110606</v>
      </c>
      <c r="AA12" s="70">
        <f>SUM(งบดุลบัญชี!AI21)</f>
        <v>349440</v>
      </c>
      <c r="AB12" s="18"/>
      <c r="AC12" s="16" t="s">
        <v>55</v>
      </c>
      <c r="AD12" s="21"/>
      <c r="AE12" s="71">
        <v>110606</v>
      </c>
      <c r="AF12" s="588">
        <f>SUM(งบดุลบัญชี!AO21)</f>
        <v>156000</v>
      </c>
      <c r="AG12" s="88"/>
      <c r="AH12" s="16" t="s">
        <v>55</v>
      </c>
      <c r="AI12" s="21"/>
      <c r="AJ12" s="17"/>
      <c r="AK12" s="71">
        <v>110606</v>
      </c>
      <c r="AL12" s="70">
        <f>SUM(งบดุลบัญชี!AU21)</f>
        <v>156000</v>
      </c>
      <c r="AM12" s="18"/>
      <c r="AN12" s="16" t="s">
        <v>55</v>
      </c>
      <c r="AO12" s="21"/>
      <c r="AP12" s="17"/>
      <c r="AQ12" s="71">
        <v>110606</v>
      </c>
      <c r="AR12" s="70">
        <f>SUM(งบดุลบัญชี!BA21)</f>
        <v>-59000</v>
      </c>
      <c r="AS12" s="18"/>
      <c r="AT12" s="16" t="s">
        <v>55</v>
      </c>
      <c r="AU12" s="21"/>
      <c r="AV12" s="17"/>
      <c r="AW12" s="71">
        <v>110606</v>
      </c>
      <c r="AX12" s="70">
        <f>SUM(งบดุลบัญชี!BG21)</f>
        <v>28000</v>
      </c>
      <c r="AY12" s="18"/>
      <c r="AZ12" s="16" t="s">
        <v>55</v>
      </c>
      <c r="BA12" s="21"/>
      <c r="BB12" s="17"/>
      <c r="BC12" s="71">
        <v>110606</v>
      </c>
      <c r="BD12" s="70">
        <f>SUM(งบดุลบัญชี!BM21)</f>
        <v>37000</v>
      </c>
      <c r="BE12" s="18"/>
      <c r="BF12" s="16" t="s">
        <v>55</v>
      </c>
      <c r="BG12" s="21"/>
      <c r="BH12" s="17"/>
      <c r="BI12" s="71">
        <v>110606</v>
      </c>
      <c r="BJ12" s="70">
        <f>SUM(งบดุลบัญชี!BS21)</f>
        <v>37000</v>
      </c>
      <c r="BK12" s="18"/>
      <c r="BL12" s="16" t="s">
        <v>55</v>
      </c>
      <c r="BM12" s="21"/>
      <c r="BN12" s="17"/>
      <c r="BO12" s="71">
        <v>110606</v>
      </c>
      <c r="BP12" s="70">
        <f>SUM(งบดุลบัญชี!BY21)</f>
        <v>1000</v>
      </c>
      <c r="BQ12" s="18"/>
      <c r="BR12" s="123" t="s">
        <v>55</v>
      </c>
      <c r="BS12" s="124"/>
      <c r="BT12" s="126"/>
      <c r="BU12" s="365">
        <v>110606</v>
      </c>
      <c r="BV12" s="364">
        <f>+งบดุลบัญชี!CC21</f>
        <v>1000</v>
      </c>
      <c r="BW12" s="125"/>
    </row>
    <row r="13" spans="1:75" ht="18.75">
      <c r="A13" s="16" t="s">
        <v>440</v>
      </c>
      <c r="B13" s="21"/>
      <c r="C13" s="17"/>
      <c r="D13" s="71">
        <v>110609</v>
      </c>
      <c r="E13" s="70">
        <f>+งบดุลบัญชี!K23</f>
        <v>0</v>
      </c>
      <c r="F13" s="18"/>
      <c r="G13" s="16" t="s">
        <v>440</v>
      </c>
      <c r="H13" s="21"/>
      <c r="I13" s="71">
        <v>110609</v>
      </c>
      <c r="J13" s="70">
        <f>+งบดุลบัญชี!Q23</f>
        <v>0</v>
      </c>
      <c r="K13" s="18"/>
      <c r="L13" s="16" t="s">
        <v>440</v>
      </c>
      <c r="M13" s="21"/>
      <c r="N13" s="71">
        <v>110609</v>
      </c>
      <c r="O13" s="70">
        <f>+งบดุลบัญชี!W23</f>
        <v>0</v>
      </c>
      <c r="P13" s="18"/>
      <c r="Q13" s="16" t="s">
        <v>440</v>
      </c>
      <c r="R13" s="21"/>
      <c r="S13" s="71">
        <v>110609</v>
      </c>
      <c r="T13" s="71">
        <v>110609</v>
      </c>
      <c r="U13" s="70">
        <f>+งบดุลบัญชี!AC23</f>
        <v>0</v>
      </c>
      <c r="V13" s="18"/>
      <c r="W13" s="16" t="s">
        <v>440</v>
      </c>
      <c r="X13" s="21"/>
      <c r="Y13" s="71">
        <v>110609</v>
      </c>
      <c r="Z13" s="71">
        <v>110609</v>
      </c>
      <c r="AA13" s="70">
        <f>+งบดุลบัญชี!AI23</f>
        <v>0</v>
      </c>
      <c r="AB13" s="18"/>
      <c r="AC13" s="16" t="s">
        <v>440</v>
      </c>
      <c r="AD13" s="21"/>
      <c r="AE13" s="71">
        <v>110609</v>
      </c>
      <c r="AF13" s="588">
        <f>+งบดุลบัญชี!AO23</f>
        <v>0</v>
      </c>
      <c r="AG13" s="88"/>
      <c r="AH13" s="16"/>
      <c r="AI13" s="21"/>
      <c r="AJ13" s="17"/>
      <c r="AK13" s="71"/>
      <c r="AL13" s="70"/>
      <c r="AM13" s="18"/>
      <c r="AN13" s="16"/>
      <c r="AO13" s="21"/>
      <c r="AP13" s="17"/>
      <c r="AQ13" s="71"/>
      <c r="AR13" s="70"/>
      <c r="AS13" s="18"/>
      <c r="AT13" s="16"/>
      <c r="AU13" s="21"/>
      <c r="AV13" s="17"/>
      <c r="AW13" s="71"/>
      <c r="AX13" s="70"/>
      <c r="AY13" s="18"/>
      <c r="AZ13" s="16" t="s">
        <v>440</v>
      </c>
      <c r="BA13" s="21"/>
      <c r="BB13" s="17"/>
      <c r="BC13" s="71">
        <v>110609</v>
      </c>
      <c r="BD13" s="70">
        <f>+งบดุลบัญชี!BM23</f>
        <v>665200</v>
      </c>
      <c r="BE13" s="18"/>
      <c r="BF13" s="16" t="str">
        <f>+AZ13</f>
        <v>ลูกหนี้เงินยืมเงินนอกงบประมาณ</v>
      </c>
      <c r="BG13" s="21"/>
      <c r="BH13" s="17"/>
      <c r="BI13" s="71">
        <f>+BC13</f>
        <v>110609</v>
      </c>
      <c r="BJ13" s="70">
        <f>+งบดุลบัญชี!BS23</f>
        <v>0</v>
      </c>
      <c r="BK13" s="18"/>
      <c r="BL13" s="16" t="str">
        <f>+BF13</f>
        <v>ลูกหนี้เงินยืมเงินนอกงบประมาณ</v>
      </c>
      <c r="BM13" s="21"/>
      <c r="BN13" s="17"/>
      <c r="BO13" s="71">
        <f>+BI13</f>
        <v>110609</v>
      </c>
      <c r="BP13" s="70">
        <v>0</v>
      </c>
      <c r="BQ13" s="18"/>
      <c r="BR13" s="123" t="str">
        <f>+BL13</f>
        <v>ลูกหนี้เงินยืมเงินนอกงบประมาณ</v>
      </c>
      <c r="BS13" s="124"/>
      <c r="BT13" s="126"/>
      <c r="BU13" s="365">
        <f>+BO13</f>
        <v>110609</v>
      </c>
      <c r="BV13" s="364">
        <v>0</v>
      </c>
      <c r="BW13" s="125"/>
    </row>
    <row r="14" spans="1:75" ht="18.75">
      <c r="A14" s="16" t="s">
        <v>83</v>
      </c>
      <c r="B14" s="21"/>
      <c r="C14" s="17"/>
      <c r="D14" s="71">
        <v>120200</v>
      </c>
      <c r="E14" s="70">
        <f>SUM(งบดุลบัญชี!K22)</f>
        <v>1926099.19</v>
      </c>
      <c r="F14" s="18"/>
      <c r="G14" s="16" t="s">
        <v>83</v>
      </c>
      <c r="H14" s="21"/>
      <c r="I14" s="71">
        <v>120200</v>
      </c>
      <c r="J14" s="70">
        <f>SUM(งบดุลบัญชี!Q22)</f>
        <v>1926099.19</v>
      </c>
      <c r="K14" s="18"/>
      <c r="L14" s="16" t="s">
        <v>83</v>
      </c>
      <c r="M14" s="21"/>
      <c r="N14" s="71">
        <v>120200</v>
      </c>
      <c r="O14" s="70">
        <f>SUM(งบดุลบัญชี!W22)</f>
        <v>2456463.52</v>
      </c>
      <c r="P14" s="18"/>
      <c r="Q14" s="16" t="s">
        <v>83</v>
      </c>
      <c r="R14" s="21"/>
      <c r="S14" s="17"/>
      <c r="T14" s="71">
        <v>120200</v>
      </c>
      <c r="U14" s="70">
        <f>SUM(งบดุลบัญชี!AC22)</f>
        <v>2456463.52</v>
      </c>
      <c r="V14" s="18"/>
      <c r="W14" s="16" t="s">
        <v>83</v>
      </c>
      <c r="X14" s="21"/>
      <c r="Y14" s="17"/>
      <c r="Z14" s="71">
        <v>120200</v>
      </c>
      <c r="AA14" s="70">
        <f>SUM(งบดุลบัญชี!AI22)</f>
        <v>2456463.52</v>
      </c>
      <c r="AB14" s="18"/>
      <c r="AC14" s="16" t="s">
        <v>83</v>
      </c>
      <c r="AD14" s="21"/>
      <c r="AE14" s="71">
        <v>120200</v>
      </c>
      <c r="AF14" s="588">
        <f>SUM(งบดุลบัญชี!AO22)</f>
        <v>2456463.52</v>
      </c>
      <c r="AG14" s="88"/>
      <c r="AH14" s="16" t="s">
        <v>83</v>
      </c>
      <c r="AI14" s="21"/>
      <c r="AJ14" s="17"/>
      <c r="AK14" s="71">
        <v>120200</v>
      </c>
      <c r="AL14" s="70">
        <f>SUM(งบดุลบัญชี!AU22)</f>
        <v>2456463.52</v>
      </c>
      <c r="AM14" s="18"/>
      <c r="AN14" s="16" t="s">
        <v>83</v>
      </c>
      <c r="AO14" s="21"/>
      <c r="AP14" s="17"/>
      <c r="AQ14" s="71">
        <v>120200</v>
      </c>
      <c r="AR14" s="70">
        <f>SUM(งบดุลบัญชี!BA22)</f>
        <v>2456463.52</v>
      </c>
      <c r="AS14" s="18"/>
      <c r="AT14" s="16" t="s">
        <v>83</v>
      </c>
      <c r="AU14" s="21"/>
      <c r="AV14" s="17"/>
      <c r="AW14" s="71">
        <v>120200</v>
      </c>
      <c r="AX14" s="70">
        <f>SUM(งบดุลบัญชี!BG22)</f>
        <v>2456463.52</v>
      </c>
      <c r="AY14" s="18"/>
      <c r="AZ14" s="16" t="s">
        <v>83</v>
      </c>
      <c r="BA14" s="21"/>
      <c r="BB14" s="17"/>
      <c r="BC14" s="71">
        <v>120200</v>
      </c>
      <c r="BD14" s="70">
        <f>SUM(งบดุลบัญชี!BM22)</f>
        <v>2456463.52</v>
      </c>
      <c r="BE14" s="18"/>
      <c r="BF14" s="16" t="s">
        <v>83</v>
      </c>
      <c r="BG14" s="21"/>
      <c r="BH14" s="17"/>
      <c r="BI14" s="71">
        <v>120200</v>
      </c>
      <c r="BJ14" s="70">
        <f>SUM(งบดุลบัญชี!BS22)</f>
        <v>2456463.52</v>
      </c>
      <c r="BK14" s="18"/>
      <c r="BL14" s="16" t="s">
        <v>83</v>
      </c>
      <c r="BM14" s="21"/>
      <c r="BN14" s="17"/>
      <c r="BO14" s="71">
        <v>120200</v>
      </c>
      <c r="BP14" s="70">
        <f>SUM(งบดุลบัญชี!BY22)</f>
        <v>2897529.91</v>
      </c>
      <c r="BQ14" s="18"/>
      <c r="BR14" s="123" t="s">
        <v>83</v>
      </c>
      <c r="BS14" s="124"/>
      <c r="BT14" s="126"/>
      <c r="BU14" s="365">
        <v>120200</v>
      </c>
      <c r="BV14" s="364">
        <f>+งบดุลบัญชี!CC22</f>
        <v>2897529.91</v>
      </c>
      <c r="BW14" s="125"/>
    </row>
    <row r="15" spans="1:75" ht="18.75">
      <c r="A15" s="16" t="s">
        <v>11</v>
      </c>
      <c r="B15" s="21"/>
      <c r="C15" s="17"/>
      <c r="D15" s="71">
        <v>510000</v>
      </c>
      <c r="E15" s="18">
        <f>SUM(งบดุลบัญชี!K110)</f>
        <v>7500</v>
      </c>
      <c r="F15" s="18"/>
      <c r="G15" s="16" t="s">
        <v>11</v>
      </c>
      <c r="H15" s="21"/>
      <c r="I15" s="71">
        <v>510000</v>
      </c>
      <c r="J15" s="18">
        <f>SUM(งบดุลบัญชี!Q110)</f>
        <v>200997</v>
      </c>
      <c r="K15" s="18"/>
      <c r="L15" s="16" t="s">
        <v>11</v>
      </c>
      <c r="M15" s="21"/>
      <c r="N15" s="71">
        <v>510000</v>
      </c>
      <c r="O15" s="18">
        <f>SUM(งบดุลบัญชี!W110)</f>
        <v>559987.61</v>
      </c>
      <c r="P15" s="18"/>
      <c r="Q15" s="16" t="s">
        <v>11</v>
      </c>
      <c r="R15" s="21"/>
      <c r="S15" s="17"/>
      <c r="T15" s="71">
        <v>510000</v>
      </c>
      <c r="U15" s="18">
        <f>SUM(งบดุลบัญชี!AC110)</f>
        <v>581719.61</v>
      </c>
      <c r="V15" s="18"/>
      <c r="W15" s="16" t="s">
        <v>11</v>
      </c>
      <c r="X15" s="21"/>
      <c r="Y15" s="17"/>
      <c r="Z15" s="71">
        <v>510000</v>
      </c>
      <c r="AA15" s="18">
        <f>+งบดุลบัญชี!AI110</f>
        <v>596714.61</v>
      </c>
      <c r="AB15" s="18"/>
      <c r="AC15" s="16" t="s">
        <v>11</v>
      </c>
      <c r="AD15" s="21"/>
      <c r="AE15" s="71">
        <v>510000</v>
      </c>
      <c r="AF15" s="88">
        <f>+งบดุลบัญชี!AO110</f>
        <v>611163.61</v>
      </c>
      <c r="AG15" s="88"/>
      <c r="AH15" s="16" t="s">
        <v>11</v>
      </c>
      <c r="AI15" s="21"/>
      <c r="AJ15" s="17"/>
      <c r="AK15" s="71">
        <v>510000</v>
      </c>
      <c r="AL15" s="18">
        <f>SUM(งบดุลบัญชี!AU110)</f>
        <v>611163.61</v>
      </c>
      <c r="AM15" s="18"/>
      <c r="AN15" s="16" t="s">
        <v>11</v>
      </c>
      <c r="AO15" s="21"/>
      <c r="AP15" s="17"/>
      <c r="AQ15" s="71">
        <v>510000</v>
      </c>
      <c r="AR15" s="18">
        <f>SUM(งบดุลบัญชี!BA110)</f>
        <v>625083.61</v>
      </c>
      <c r="AS15" s="18"/>
      <c r="AT15" s="16" t="s">
        <v>11</v>
      </c>
      <c r="AU15" s="21"/>
      <c r="AV15" s="17"/>
      <c r="AW15" s="71">
        <v>510000</v>
      </c>
      <c r="AX15" s="18">
        <f>SUM(งบดุลบัญชี!BG110)</f>
        <v>705294.61</v>
      </c>
      <c r="AY15" s="18"/>
      <c r="AZ15" s="16" t="s">
        <v>11</v>
      </c>
      <c r="BA15" s="49"/>
      <c r="BB15" s="17"/>
      <c r="BC15" s="71">
        <v>510000</v>
      </c>
      <c r="BD15" s="18">
        <f>SUM(งบดุลบัญชี!BM110)</f>
        <v>736209.61</v>
      </c>
      <c r="BE15" s="18"/>
      <c r="BF15" s="16" t="s">
        <v>11</v>
      </c>
      <c r="BG15" s="21"/>
      <c r="BH15" s="17"/>
      <c r="BI15" s="71">
        <v>510000</v>
      </c>
      <c r="BJ15" s="88">
        <f>SUM(งบดุลบัญชี!BS110)</f>
        <v>752056.61</v>
      </c>
      <c r="BK15" s="18"/>
      <c r="BL15" s="16" t="s">
        <v>11</v>
      </c>
      <c r="BM15" s="21"/>
      <c r="BN15" s="17"/>
      <c r="BO15" s="71">
        <v>510000</v>
      </c>
      <c r="BP15" s="18">
        <f>SUM(งบดุลบัญชี!BY110)</f>
        <v>1055794.6099999999</v>
      </c>
      <c r="BQ15" s="18"/>
      <c r="BR15" s="123" t="s">
        <v>549</v>
      </c>
      <c r="BS15" s="124"/>
      <c r="BT15" s="126"/>
      <c r="BU15" s="365">
        <v>230100</v>
      </c>
      <c r="BV15" s="364"/>
      <c r="BW15" s="125">
        <v>438085.92</v>
      </c>
    </row>
    <row r="16" spans="1:75" ht="18.75">
      <c r="A16" s="16"/>
      <c r="B16" s="21"/>
      <c r="C16" s="17"/>
      <c r="D16" s="71"/>
      <c r="E16" s="18"/>
      <c r="F16" s="18"/>
      <c r="G16" s="16"/>
      <c r="H16" s="21"/>
      <c r="I16" s="71"/>
      <c r="J16" s="18"/>
      <c r="K16" s="18"/>
      <c r="L16" s="16" t="s">
        <v>634</v>
      </c>
      <c r="M16" s="21"/>
      <c r="N16" s="71">
        <v>510000</v>
      </c>
      <c r="O16" s="18">
        <f>+งบดุลบัญชี!W134</f>
        <v>2644000</v>
      </c>
      <c r="P16" s="18"/>
      <c r="Q16" s="16" t="s">
        <v>634</v>
      </c>
      <c r="R16" s="21"/>
      <c r="S16" s="71">
        <v>510000</v>
      </c>
      <c r="T16" s="71">
        <v>510000</v>
      </c>
      <c r="U16" s="18">
        <f>+งบดุลบัญชี!AC135</f>
        <v>3521400</v>
      </c>
      <c r="V16" s="18"/>
      <c r="W16" s="16" t="s">
        <v>634</v>
      </c>
      <c r="X16" s="21"/>
      <c r="Y16" s="71">
        <v>510000</v>
      </c>
      <c r="Z16" s="71">
        <v>510000</v>
      </c>
      <c r="AA16" s="18">
        <f>+งบดุลบัญชี!AI135</f>
        <v>4399780</v>
      </c>
      <c r="AB16" s="18"/>
      <c r="AC16" s="16" t="s">
        <v>634</v>
      </c>
      <c r="AD16" s="21"/>
      <c r="AE16" s="71">
        <v>510000</v>
      </c>
      <c r="AF16" s="88">
        <f>+งบดุลบัญชี!AO135</f>
        <v>5272120</v>
      </c>
      <c r="AG16" s="88"/>
      <c r="AH16" s="16"/>
      <c r="AI16" s="21"/>
      <c r="AJ16" s="17"/>
      <c r="AK16" s="71"/>
      <c r="AL16" s="18"/>
      <c r="AM16" s="18"/>
      <c r="AN16" s="16"/>
      <c r="AO16" s="21"/>
      <c r="AP16" s="17"/>
      <c r="AQ16" s="71"/>
      <c r="AR16" s="18"/>
      <c r="AS16" s="18"/>
      <c r="AT16" s="16"/>
      <c r="AU16" s="21"/>
      <c r="AV16" s="17"/>
      <c r="AW16" s="71"/>
      <c r="AX16" s="18"/>
      <c r="AY16" s="18"/>
      <c r="AZ16" s="16"/>
      <c r="BA16" s="49"/>
      <c r="BB16" s="17"/>
      <c r="BC16" s="71"/>
      <c r="BD16" s="18"/>
      <c r="BE16" s="18"/>
      <c r="BF16" s="16"/>
      <c r="BG16" s="21"/>
      <c r="BH16" s="17"/>
      <c r="BI16" s="71"/>
      <c r="BJ16" s="88"/>
      <c r="BK16" s="18"/>
      <c r="BL16" s="16"/>
      <c r="BM16" s="21"/>
      <c r="BN16" s="17"/>
      <c r="BO16" s="71"/>
      <c r="BP16" s="18"/>
      <c r="BQ16" s="18"/>
      <c r="BR16" s="123"/>
      <c r="BS16" s="124"/>
      <c r="BT16" s="126"/>
      <c r="BU16" s="365"/>
      <c r="BV16" s="364"/>
      <c r="BW16" s="125"/>
    </row>
    <row r="17" spans="1:75" ht="18.75">
      <c r="A17" s="76" t="s">
        <v>123</v>
      </c>
      <c r="B17" s="77"/>
      <c r="C17" s="78"/>
      <c r="D17" s="71">
        <v>521000</v>
      </c>
      <c r="E17" s="18">
        <f>SUM(งบดุลบัญชี!K119)</f>
        <v>209060</v>
      </c>
      <c r="F17" s="18"/>
      <c r="G17" s="76" t="s">
        <v>123</v>
      </c>
      <c r="H17" s="77"/>
      <c r="I17" s="71">
        <v>521000</v>
      </c>
      <c r="J17" s="18">
        <f>SUM(งบดุลบัญชี!Q119)</f>
        <v>418120</v>
      </c>
      <c r="K17" s="18"/>
      <c r="L17" s="76" t="s">
        <v>123</v>
      </c>
      <c r="M17" s="77"/>
      <c r="N17" s="71">
        <v>521000</v>
      </c>
      <c r="O17" s="18">
        <f>SUM(งบดุลบัญชี!W119)</f>
        <v>646178</v>
      </c>
      <c r="P17" s="18"/>
      <c r="Q17" s="76" t="s">
        <v>123</v>
      </c>
      <c r="R17" s="77"/>
      <c r="S17" s="78"/>
      <c r="T17" s="71">
        <v>521000</v>
      </c>
      <c r="U17" s="18">
        <f>SUM(งบดุลบัญชี!AC119)</f>
        <v>864898</v>
      </c>
      <c r="V17" s="18"/>
      <c r="W17" s="76" t="s">
        <v>123</v>
      </c>
      <c r="X17" s="77"/>
      <c r="Y17" s="78"/>
      <c r="Z17" s="71">
        <v>521000</v>
      </c>
      <c r="AA17" s="18">
        <f>SUM(งบดุลบัญชี!AI119)</f>
        <v>1083618</v>
      </c>
      <c r="AB17" s="18"/>
      <c r="AC17" s="76" t="s">
        <v>123</v>
      </c>
      <c r="AD17" s="77"/>
      <c r="AE17" s="71">
        <v>521000</v>
      </c>
      <c r="AF17" s="88">
        <f>SUM(งบดุลบัญชี!AO119)</f>
        <v>1302338</v>
      </c>
      <c r="AG17" s="88"/>
      <c r="AH17" s="76" t="s">
        <v>123</v>
      </c>
      <c r="AI17" s="77"/>
      <c r="AJ17" s="78"/>
      <c r="AK17" s="71">
        <v>521000</v>
      </c>
      <c r="AL17" s="18">
        <f>SUM(งบดุลบัญชี!AU119)</f>
        <v>1302338</v>
      </c>
      <c r="AM17" s="18"/>
      <c r="AN17" s="76" t="s">
        <v>123</v>
      </c>
      <c r="AO17" s="77"/>
      <c r="AP17" s="78"/>
      <c r="AQ17" s="71">
        <v>521000</v>
      </c>
      <c r="AR17" s="18">
        <f>SUM(งบดุลบัญชี!BA119)</f>
        <v>1521058</v>
      </c>
      <c r="AS17" s="18"/>
      <c r="AT17" s="76" t="s">
        <v>123</v>
      </c>
      <c r="AU17" s="77"/>
      <c r="AV17" s="78"/>
      <c r="AW17" s="71">
        <v>521000</v>
      </c>
      <c r="AX17" s="18">
        <f>SUM(งบดุลบัญชี!BG119)</f>
        <v>1739778</v>
      </c>
      <c r="AY17" s="18"/>
      <c r="AZ17" s="76" t="s">
        <v>123</v>
      </c>
      <c r="BA17" s="77"/>
      <c r="BB17" s="78"/>
      <c r="BC17" s="71">
        <v>521000</v>
      </c>
      <c r="BD17" s="18">
        <f>SUM(งบดุลบัญชี!BM119)</f>
        <v>1958498</v>
      </c>
      <c r="BE17" s="18"/>
      <c r="BF17" s="76" t="s">
        <v>123</v>
      </c>
      <c r="BG17" s="77"/>
      <c r="BH17" s="78"/>
      <c r="BI17" s="71">
        <v>521000</v>
      </c>
      <c r="BJ17" s="88">
        <f>SUM(งบดุลบัญชี!BS119)</f>
        <v>2177218</v>
      </c>
      <c r="BK17" s="18"/>
      <c r="BL17" s="76" t="s">
        <v>123</v>
      </c>
      <c r="BM17" s="77"/>
      <c r="BN17" s="78"/>
      <c r="BO17" s="71">
        <v>521000</v>
      </c>
      <c r="BP17" s="18">
        <f>SUM(งบดุลบัญชี!BY119)</f>
        <v>2388210</v>
      </c>
      <c r="BQ17" s="18"/>
      <c r="BR17" s="123" t="s">
        <v>324</v>
      </c>
      <c r="BS17" s="124"/>
      <c r="BT17" s="126"/>
      <c r="BU17" s="365">
        <v>210402</v>
      </c>
      <c r="BV17" s="364"/>
      <c r="BW17" s="125">
        <f>+งบดุลบัญชี!CD27</f>
        <v>6623250</v>
      </c>
    </row>
    <row r="18" spans="1:75" ht="18.75">
      <c r="A18" s="76" t="s">
        <v>122</v>
      </c>
      <c r="B18" s="77"/>
      <c r="C18" s="78"/>
      <c r="D18" s="71">
        <v>522000</v>
      </c>
      <c r="E18" s="18">
        <f>SUM(งบดุลบัญชี!K120)</f>
        <v>253107.58</v>
      </c>
      <c r="F18" s="18"/>
      <c r="G18" s="76" t="s">
        <v>122</v>
      </c>
      <c r="H18" s="77"/>
      <c r="I18" s="71">
        <v>522000</v>
      </c>
      <c r="J18" s="18">
        <f>SUM(งบดุลบัญชี!Q120)</f>
        <v>517022.57999999996</v>
      </c>
      <c r="K18" s="18"/>
      <c r="L18" s="76" t="s">
        <v>122</v>
      </c>
      <c r="M18" s="77"/>
      <c r="N18" s="71">
        <v>522000</v>
      </c>
      <c r="O18" s="18">
        <f>SUM(งบดุลบัญชี!W120)</f>
        <v>787937.58</v>
      </c>
      <c r="P18" s="18"/>
      <c r="Q18" s="76" t="s">
        <v>122</v>
      </c>
      <c r="R18" s="77"/>
      <c r="S18" s="78"/>
      <c r="T18" s="71">
        <v>522000</v>
      </c>
      <c r="U18" s="18">
        <f>SUM(งบดุลบัญชี!AC120)</f>
        <v>1063465.16</v>
      </c>
      <c r="V18" s="18"/>
      <c r="W18" s="76" t="s">
        <v>122</v>
      </c>
      <c r="X18" s="77"/>
      <c r="Y18" s="78"/>
      <c r="Z18" s="71">
        <v>522000</v>
      </c>
      <c r="AA18" s="18">
        <f>SUM(งบดุลบัญชี!AI120)</f>
        <v>1703912.8299999998</v>
      </c>
      <c r="AB18" s="18"/>
      <c r="AC18" s="76" t="s">
        <v>122</v>
      </c>
      <c r="AD18" s="77"/>
      <c r="AE18" s="71">
        <v>522000</v>
      </c>
      <c r="AF18" s="88">
        <f>SUM(งบดุลบัญชี!AO120)</f>
        <v>2005411.8299999998</v>
      </c>
      <c r="AG18" s="88"/>
      <c r="AH18" s="76" t="s">
        <v>122</v>
      </c>
      <c r="AI18" s="77"/>
      <c r="AJ18" s="78"/>
      <c r="AK18" s="71">
        <v>522000</v>
      </c>
      <c r="AL18" s="18">
        <f>SUM(งบดุลบัญชี!AU120)</f>
        <v>2005411.8299999998</v>
      </c>
      <c r="AM18" s="18"/>
      <c r="AN18" s="76" t="s">
        <v>122</v>
      </c>
      <c r="AO18" s="77"/>
      <c r="AP18" s="78"/>
      <c r="AQ18" s="71">
        <v>522000</v>
      </c>
      <c r="AR18" s="18">
        <f>SUM(งบดุลบัญชี!BA120)</f>
        <v>2226516.83</v>
      </c>
      <c r="AS18" s="18"/>
      <c r="AT18" s="76" t="s">
        <v>122</v>
      </c>
      <c r="AU18" s="77"/>
      <c r="AV18" s="78"/>
      <c r="AW18" s="71">
        <v>522000</v>
      </c>
      <c r="AX18" s="18">
        <f>SUM(งบดุลบัญชี!BG120)</f>
        <v>2443856.83</v>
      </c>
      <c r="AY18" s="18"/>
      <c r="AZ18" s="76" t="s">
        <v>122</v>
      </c>
      <c r="BA18" s="77"/>
      <c r="BB18" s="78"/>
      <c r="BC18" s="71">
        <v>522000</v>
      </c>
      <c r="BD18" s="18">
        <f>SUM(งบดุลบัญชี!BM120)</f>
        <v>2671808.12</v>
      </c>
      <c r="BE18" s="18"/>
      <c r="BF18" s="76" t="s">
        <v>122</v>
      </c>
      <c r="BG18" s="77"/>
      <c r="BH18" s="78"/>
      <c r="BI18" s="71">
        <v>522000</v>
      </c>
      <c r="BJ18" s="88">
        <f>SUM(งบดุลบัญชี!BS120)</f>
        <v>2891567.47</v>
      </c>
      <c r="BK18" s="18"/>
      <c r="BL18" s="76" t="s">
        <v>122</v>
      </c>
      <c r="BM18" s="77"/>
      <c r="BN18" s="78"/>
      <c r="BO18" s="71">
        <v>522000</v>
      </c>
      <c r="BP18" s="18">
        <f>SUM(งบดุลบัญชี!BY120)</f>
        <v>3147099.14</v>
      </c>
      <c r="BQ18" s="18"/>
      <c r="BR18" s="123" t="s">
        <v>91</v>
      </c>
      <c r="BS18" s="124"/>
      <c r="BT18" s="126"/>
      <c r="BU18" s="365">
        <v>210500</v>
      </c>
      <c r="BV18" s="364"/>
      <c r="BW18" s="125">
        <v>0</v>
      </c>
    </row>
    <row r="19" spans="1:75" ht="18.75">
      <c r="A19" s="76"/>
      <c r="B19" s="77"/>
      <c r="C19" s="78"/>
      <c r="D19" s="71"/>
      <c r="E19" s="18"/>
      <c r="F19" s="18"/>
      <c r="G19" s="76"/>
      <c r="H19" s="77"/>
      <c r="I19" s="71"/>
      <c r="J19" s="18"/>
      <c r="K19" s="18"/>
      <c r="L19" s="76"/>
      <c r="M19" s="77"/>
      <c r="N19" s="71"/>
      <c r="O19" s="18"/>
      <c r="P19" s="18"/>
      <c r="Q19" s="76"/>
      <c r="R19" s="77"/>
      <c r="S19" s="78"/>
      <c r="T19" s="71"/>
      <c r="U19" s="18"/>
      <c r="V19" s="18"/>
      <c r="W19" s="76" t="s">
        <v>685</v>
      </c>
      <c r="X19" s="77"/>
      <c r="Y19" s="78"/>
      <c r="Z19" s="71">
        <v>522000</v>
      </c>
      <c r="AA19" s="18">
        <f>+งบดุลบัญชี!AI142</f>
        <v>120000</v>
      </c>
      <c r="AB19" s="18"/>
      <c r="AC19" s="76" t="s">
        <v>685</v>
      </c>
      <c r="AD19" s="77"/>
      <c r="AE19" s="71">
        <v>522000</v>
      </c>
      <c r="AF19" s="88">
        <f>+งบดุลบัญชี!AO142</f>
        <v>300000</v>
      </c>
      <c r="AG19" s="88"/>
      <c r="AH19" s="76"/>
      <c r="AI19" s="77"/>
      <c r="AJ19" s="78"/>
      <c r="AK19" s="71"/>
      <c r="AL19" s="18"/>
      <c r="AM19" s="18"/>
      <c r="AN19" s="76"/>
      <c r="AO19" s="77"/>
      <c r="AP19" s="78"/>
      <c r="AQ19" s="71"/>
      <c r="AR19" s="18"/>
      <c r="AS19" s="18"/>
      <c r="AT19" s="76"/>
      <c r="AU19" s="77"/>
      <c r="AV19" s="78"/>
      <c r="AW19" s="71"/>
      <c r="AX19" s="18"/>
      <c r="AY19" s="18"/>
      <c r="AZ19" s="76"/>
      <c r="BA19" s="77"/>
      <c r="BB19" s="78"/>
      <c r="BC19" s="71"/>
      <c r="BD19" s="18"/>
      <c r="BE19" s="18"/>
      <c r="BF19" s="76"/>
      <c r="BG19" s="77"/>
      <c r="BH19" s="78"/>
      <c r="BI19" s="71"/>
      <c r="BJ19" s="88"/>
      <c r="BK19" s="18"/>
      <c r="BL19" s="76"/>
      <c r="BM19" s="77"/>
      <c r="BN19" s="78"/>
      <c r="BO19" s="71"/>
      <c r="BP19" s="18"/>
      <c r="BQ19" s="18"/>
      <c r="BR19" s="123"/>
      <c r="BS19" s="124"/>
      <c r="BT19" s="126"/>
      <c r="BU19" s="365"/>
      <c r="BV19" s="364"/>
      <c r="BW19" s="125"/>
    </row>
    <row r="20" spans="1:75" ht="18.75">
      <c r="A20" s="16" t="s">
        <v>3</v>
      </c>
      <c r="B20" s="21"/>
      <c r="C20" s="17"/>
      <c r="D20" s="71">
        <v>220400</v>
      </c>
      <c r="E20" s="18">
        <f>SUM(งบดุลบัญชี!K121)</f>
        <v>27285</v>
      </c>
      <c r="F20" s="18"/>
      <c r="G20" s="16" t="s">
        <v>3</v>
      </c>
      <c r="H20" s="21"/>
      <c r="I20" s="71">
        <v>220400</v>
      </c>
      <c r="J20" s="18">
        <f>SUM(งบดุลบัญชี!Q121)</f>
        <v>54570</v>
      </c>
      <c r="K20" s="18"/>
      <c r="L20" s="16" t="s">
        <v>3</v>
      </c>
      <c r="M20" s="21"/>
      <c r="N20" s="71">
        <v>220400</v>
      </c>
      <c r="O20" s="18">
        <f>SUM(งบดุลบัญชี!W121)</f>
        <v>81855</v>
      </c>
      <c r="P20" s="18"/>
      <c r="Q20" s="16" t="s">
        <v>3</v>
      </c>
      <c r="R20" s="21"/>
      <c r="S20" s="17"/>
      <c r="T20" s="71">
        <v>220400</v>
      </c>
      <c r="U20" s="18">
        <f>SUM(งบดุลบัญชี!AC121)</f>
        <v>109140</v>
      </c>
      <c r="V20" s="18"/>
      <c r="W20" s="16" t="s">
        <v>3</v>
      </c>
      <c r="X20" s="21"/>
      <c r="Y20" s="17"/>
      <c r="Z20" s="71">
        <v>220400</v>
      </c>
      <c r="AA20" s="18">
        <f>SUM(งบดุลบัญชี!AI121)</f>
        <v>136425</v>
      </c>
      <c r="AB20" s="18"/>
      <c r="AC20" s="16" t="s">
        <v>3</v>
      </c>
      <c r="AD20" s="21"/>
      <c r="AE20" s="71">
        <v>220400</v>
      </c>
      <c r="AF20" s="88">
        <f>SUM(งบดุลบัญชี!AO121)</f>
        <v>163710</v>
      </c>
      <c r="AG20" s="88"/>
      <c r="AH20" s="16" t="s">
        <v>3</v>
      </c>
      <c r="AI20" s="21"/>
      <c r="AJ20" s="17"/>
      <c r="AK20" s="71">
        <v>220400</v>
      </c>
      <c r="AL20" s="18">
        <f>SUM(งบดุลบัญชี!AU121)</f>
        <v>163710</v>
      </c>
      <c r="AM20" s="18"/>
      <c r="AN20" s="16" t="s">
        <v>3</v>
      </c>
      <c r="AO20" s="21"/>
      <c r="AP20" s="17"/>
      <c r="AQ20" s="71">
        <v>220400</v>
      </c>
      <c r="AR20" s="18">
        <f>SUM(งบดุลบัญชี!BA121)</f>
        <v>191435</v>
      </c>
      <c r="AS20" s="18"/>
      <c r="AT20" s="16" t="s">
        <v>3</v>
      </c>
      <c r="AU20" s="21"/>
      <c r="AV20" s="17"/>
      <c r="AW20" s="71">
        <v>220400</v>
      </c>
      <c r="AX20" s="18">
        <f>SUM(งบดุลบัญชี!BG121)</f>
        <v>218720</v>
      </c>
      <c r="AY20" s="18"/>
      <c r="AZ20" s="16" t="s">
        <v>3</v>
      </c>
      <c r="BA20" s="21"/>
      <c r="BB20" s="17"/>
      <c r="BC20" s="71">
        <v>220400</v>
      </c>
      <c r="BD20" s="18">
        <f>SUM(งบดุลบัญชี!BM121)</f>
        <v>246005</v>
      </c>
      <c r="BE20" s="18"/>
      <c r="BF20" s="16" t="s">
        <v>3</v>
      </c>
      <c r="BG20" s="21"/>
      <c r="BH20" s="17"/>
      <c r="BI20" s="71">
        <v>220400</v>
      </c>
      <c r="BJ20" s="88">
        <f>SUM(งบดุลบัญชี!BS121)</f>
        <v>273290</v>
      </c>
      <c r="BK20" s="18"/>
      <c r="BL20" s="16" t="s">
        <v>3</v>
      </c>
      <c r="BM20" s="21"/>
      <c r="BN20" s="17"/>
      <c r="BO20" s="71">
        <v>220400</v>
      </c>
      <c r="BP20" s="18">
        <f>SUM(งบดุลบัญชี!BY121)</f>
        <v>300160</v>
      </c>
      <c r="BQ20" s="18"/>
      <c r="BR20" s="123" t="s">
        <v>93</v>
      </c>
      <c r="BS20" s="124"/>
      <c r="BT20" s="126"/>
      <c r="BU20" s="365">
        <v>300000</v>
      </c>
      <c r="BV20" s="364"/>
      <c r="BW20" s="125">
        <f>+งบดุลบัญชี!CD43</f>
        <v>11675103.14</v>
      </c>
    </row>
    <row r="21" spans="1:75" ht="18.75">
      <c r="A21" s="16" t="s">
        <v>4</v>
      </c>
      <c r="B21" s="21"/>
      <c r="C21" s="17"/>
      <c r="D21" s="71">
        <v>220600</v>
      </c>
      <c r="E21" s="18">
        <f>SUM(งบดุลบัญชี!K122)</f>
        <v>177900</v>
      </c>
      <c r="F21" s="18"/>
      <c r="G21" s="16" t="s">
        <v>4</v>
      </c>
      <c r="H21" s="21"/>
      <c r="I21" s="71">
        <v>220600</v>
      </c>
      <c r="J21" s="18">
        <f>SUM(งบดุลบัญชี!Q122)</f>
        <v>346800</v>
      </c>
      <c r="K21" s="18"/>
      <c r="L21" s="16" t="s">
        <v>4</v>
      </c>
      <c r="M21" s="21"/>
      <c r="N21" s="71">
        <v>220600</v>
      </c>
      <c r="O21" s="18">
        <f>SUM(งบดุลบัญชี!W122)</f>
        <v>506700</v>
      </c>
      <c r="P21" s="18"/>
      <c r="Q21" s="16" t="s">
        <v>4</v>
      </c>
      <c r="R21" s="21"/>
      <c r="S21" s="17"/>
      <c r="T21" s="71">
        <v>220600</v>
      </c>
      <c r="U21" s="18">
        <f>SUM(งบดุลบัญชี!AC122)</f>
        <v>666600</v>
      </c>
      <c r="V21" s="18"/>
      <c r="W21" s="16" t="s">
        <v>4</v>
      </c>
      <c r="X21" s="21"/>
      <c r="Y21" s="17"/>
      <c r="Z21" s="71">
        <v>220600</v>
      </c>
      <c r="AA21" s="18">
        <f>SUM(งบดุลบัญชี!AI122)</f>
        <v>815570</v>
      </c>
      <c r="AB21" s="18"/>
      <c r="AC21" s="16" t="s">
        <v>4</v>
      </c>
      <c r="AD21" s="21"/>
      <c r="AE21" s="71">
        <v>220600</v>
      </c>
      <c r="AF21" s="88">
        <f>SUM(งบดุลบัญชี!AO122)</f>
        <v>971693</v>
      </c>
      <c r="AG21" s="88"/>
      <c r="AH21" s="16" t="s">
        <v>4</v>
      </c>
      <c r="AI21" s="21"/>
      <c r="AJ21" s="17"/>
      <c r="AK21" s="71">
        <v>220600</v>
      </c>
      <c r="AL21" s="18">
        <f>SUM(งบดุลบัญชี!AU122)</f>
        <v>971693</v>
      </c>
      <c r="AM21" s="18"/>
      <c r="AN21" s="16" t="s">
        <v>4</v>
      </c>
      <c r="AO21" s="21"/>
      <c r="AP21" s="17"/>
      <c r="AQ21" s="71">
        <v>220600</v>
      </c>
      <c r="AR21" s="18">
        <f>SUM(งบดุลบัญชี!BA122)</f>
        <v>1116593</v>
      </c>
      <c r="AS21" s="18"/>
      <c r="AT21" s="16" t="s">
        <v>4</v>
      </c>
      <c r="AU21" s="21"/>
      <c r="AV21" s="17"/>
      <c r="AW21" s="71">
        <v>220600</v>
      </c>
      <c r="AX21" s="18">
        <f>SUM(งบดุลบัญชี!BG122)</f>
        <v>1261043</v>
      </c>
      <c r="AY21" s="18"/>
      <c r="AZ21" s="16" t="s">
        <v>4</v>
      </c>
      <c r="BA21" s="21"/>
      <c r="BB21" s="17"/>
      <c r="BC21" s="71">
        <v>220600</v>
      </c>
      <c r="BD21" s="18">
        <f>SUM(งบดุลบัญชี!BM122)</f>
        <v>1405043</v>
      </c>
      <c r="BE21" s="18"/>
      <c r="BF21" s="16" t="s">
        <v>4</v>
      </c>
      <c r="BG21" s="21"/>
      <c r="BH21" s="17"/>
      <c r="BI21" s="71">
        <v>220600</v>
      </c>
      <c r="BJ21" s="88">
        <f>SUM(งบดุลบัญชี!BS122)</f>
        <v>1573493</v>
      </c>
      <c r="BK21" s="18"/>
      <c r="BL21" s="16" t="s">
        <v>4</v>
      </c>
      <c r="BM21" s="21"/>
      <c r="BN21" s="17"/>
      <c r="BO21" s="71">
        <v>220600</v>
      </c>
      <c r="BP21" s="18">
        <f>SUM(งบดุลบัญชี!BY122)</f>
        <v>1741943</v>
      </c>
      <c r="BQ21" s="18"/>
      <c r="BR21" s="123" t="s">
        <v>359</v>
      </c>
      <c r="BS21" s="124"/>
      <c r="BT21" s="126"/>
      <c r="BU21" s="365">
        <v>320000</v>
      </c>
      <c r="BV21" s="364"/>
      <c r="BW21" s="125">
        <f>+งบดุลบัญชี!CD44</f>
        <v>13945008.7</v>
      </c>
    </row>
    <row r="22" spans="1:75" ht="18.75">
      <c r="A22" s="16"/>
      <c r="B22" s="21"/>
      <c r="C22" s="17"/>
      <c r="D22" s="71"/>
      <c r="E22" s="18"/>
      <c r="F22" s="18"/>
      <c r="G22" s="16"/>
      <c r="H22" s="21"/>
      <c r="I22" s="71"/>
      <c r="J22" s="18"/>
      <c r="K22" s="18"/>
      <c r="L22" s="16"/>
      <c r="M22" s="21"/>
      <c r="N22" s="71"/>
      <c r="O22" s="18"/>
      <c r="P22" s="18"/>
      <c r="Q22" s="16"/>
      <c r="R22" s="21"/>
      <c r="S22" s="17"/>
      <c r="T22" s="71"/>
      <c r="U22" s="18"/>
      <c r="V22" s="18"/>
      <c r="W22" s="16" t="s">
        <v>684</v>
      </c>
      <c r="X22" s="21"/>
      <c r="Y22" s="17"/>
      <c r="Z22" s="71">
        <v>220600</v>
      </c>
      <c r="AA22" s="18">
        <f>+งบดุลบัญชี!AI141</f>
        <v>72000</v>
      </c>
      <c r="AB22" s="18"/>
      <c r="AC22" s="16" t="s">
        <v>684</v>
      </c>
      <c r="AD22" s="21"/>
      <c r="AE22" s="71">
        <v>220600</v>
      </c>
      <c r="AF22" s="88">
        <f>+งบดุลบัญชี!AO141</f>
        <v>180000</v>
      </c>
      <c r="AG22" s="88"/>
      <c r="AH22" s="16"/>
      <c r="AI22" s="21"/>
      <c r="AJ22" s="17"/>
      <c r="AK22" s="71"/>
      <c r="AL22" s="18"/>
      <c r="AM22" s="18"/>
      <c r="AN22" s="16"/>
      <c r="AO22" s="21"/>
      <c r="AP22" s="17"/>
      <c r="AQ22" s="71"/>
      <c r="AR22" s="18"/>
      <c r="AS22" s="18"/>
      <c r="AT22" s="16"/>
      <c r="AU22" s="21"/>
      <c r="AV22" s="17"/>
      <c r="AW22" s="71"/>
      <c r="AX22" s="18"/>
      <c r="AY22" s="18"/>
      <c r="AZ22" s="16"/>
      <c r="BA22" s="21"/>
      <c r="BB22" s="17"/>
      <c r="BC22" s="71"/>
      <c r="BD22" s="18"/>
      <c r="BE22" s="18"/>
      <c r="BF22" s="16"/>
      <c r="BG22" s="21"/>
      <c r="BH22" s="17"/>
      <c r="BI22" s="71"/>
      <c r="BJ22" s="88"/>
      <c r="BK22" s="18"/>
      <c r="BL22" s="16"/>
      <c r="BM22" s="21"/>
      <c r="BN22" s="17"/>
      <c r="BO22" s="71"/>
      <c r="BP22" s="18"/>
      <c r="BQ22" s="18"/>
      <c r="BR22" s="123"/>
      <c r="BS22" s="124"/>
      <c r="BT22" s="126"/>
      <c r="BU22" s="365"/>
      <c r="BV22" s="364"/>
      <c r="BW22" s="125"/>
    </row>
    <row r="23" spans="1:75" ht="18.75">
      <c r="A23" s="16" t="s">
        <v>5</v>
      </c>
      <c r="B23" s="21"/>
      <c r="C23" s="17"/>
      <c r="D23" s="71">
        <v>531000</v>
      </c>
      <c r="E23" s="18">
        <f>SUM(งบดุลบัญชี!K123)</f>
        <v>42983</v>
      </c>
      <c r="F23" s="18"/>
      <c r="G23" s="16" t="s">
        <v>5</v>
      </c>
      <c r="H23" s="21"/>
      <c r="I23" s="71">
        <v>531000</v>
      </c>
      <c r="J23" s="18">
        <f>SUM(งบดุลบัญชี!Q123)</f>
        <v>48777</v>
      </c>
      <c r="K23" s="18"/>
      <c r="L23" s="16" t="s">
        <v>5</v>
      </c>
      <c r="M23" s="21"/>
      <c r="N23" s="71">
        <v>531000</v>
      </c>
      <c r="O23" s="18">
        <f>SUM(งบดุลบัญชี!W123)</f>
        <v>86035</v>
      </c>
      <c r="P23" s="18"/>
      <c r="Q23" s="16" t="s">
        <v>5</v>
      </c>
      <c r="R23" s="21"/>
      <c r="S23" s="17"/>
      <c r="T23" s="71">
        <v>531000</v>
      </c>
      <c r="U23" s="18">
        <f>SUM(งบดุลบัญชี!AC123)</f>
        <v>118975</v>
      </c>
      <c r="V23" s="18"/>
      <c r="W23" s="16" t="s">
        <v>5</v>
      </c>
      <c r="X23" s="21"/>
      <c r="Y23" s="17"/>
      <c r="Z23" s="71">
        <v>531000</v>
      </c>
      <c r="AA23" s="18">
        <f>SUM(งบดุลบัญชี!AI123)</f>
        <v>159275</v>
      </c>
      <c r="AB23" s="18"/>
      <c r="AC23" s="16" t="s">
        <v>5</v>
      </c>
      <c r="AD23" s="21"/>
      <c r="AE23" s="71">
        <v>531000</v>
      </c>
      <c r="AF23" s="88">
        <f>SUM(งบดุลบัญชี!AO123)</f>
        <v>186875</v>
      </c>
      <c r="AG23" s="88"/>
      <c r="AH23" s="16" t="s">
        <v>5</v>
      </c>
      <c r="AI23" s="21"/>
      <c r="AJ23" s="17"/>
      <c r="AK23" s="71">
        <v>531000</v>
      </c>
      <c r="AL23" s="18">
        <f>SUM(งบดุลบัญชี!AU123)</f>
        <v>186875</v>
      </c>
      <c r="AM23" s="18"/>
      <c r="AN23" s="16" t="s">
        <v>5</v>
      </c>
      <c r="AO23" s="21"/>
      <c r="AP23" s="17"/>
      <c r="AQ23" s="71">
        <v>531000</v>
      </c>
      <c r="AR23" s="18">
        <f>SUM(งบดุลบัญชี!BA123)</f>
        <v>269425</v>
      </c>
      <c r="AS23" s="18"/>
      <c r="AT23" s="16" t="s">
        <v>5</v>
      </c>
      <c r="AU23" s="21"/>
      <c r="AV23" s="17"/>
      <c r="AW23" s="71">
        <v>531000</v>
      </c>
      <c r="AX23" s="18">
        <f>SUM(งบดุลบัญชี!BG123)</f>
        <v>308489</v>
      </c>
      <c r="AY23" s="18"/>
      <c r="AZ23" s="16" t="s">
        <v>5</v>
      </c>
      <c r="BA23" s="21"/>
      <c r="BB23" s="17"/>
      <c r="BC23" s="71">
        <v>531000</v>
      </c>
      <c r="BD23" s="18">
        <f>SUM(งบดุลบัญชี!BM123)</f>
        <v>345447</v>
      </c>
      <c r="BE23" s="18"/>
      <c r="BF23" s="16" t="s">
        <v>5</v>
      </c>
      <c r="BG23" s="21"/>
      <c r="BH23" s="17"/>
      <c r="BI23" s="71">
        <v>531000</v>
      </c>
      <c r="BJ23" s="88">
        <f>SUM(งบดุลบัญชี!BS123)</f>
        <v>413007</v>
      </c>
      <c r="BK23" s="18"/>
      <c r="BL23" s="16" t="s">
        <v>5</v>
      </c>
      <c r="BM23" s="21"/>
      <c r="BN23" s="17"/>
      <c r="BO23" s="71">
        <v>531000</v>
      </c>
      <c r="BP23" s="18">
        <f>SUM(งบดุลบัญชี!BY123)</f>
        <v>500815.5</v>
      </c>
      <c r="BQ23" s="18"/>
      <c r="BR23" s="123"/>
      <c r="BS23" s="124"/>
      <c r="BT23" s="126"/>
      <c r="BU23" s="365"/>
      <c r="BV23" s="364"/>
      <c r="BW23" s="125"/>
    </row>
    <row r="24" spans="1:75" ht="18.75">
      <c r="A24" s="76" t="s">
        <v>6</v>
      </c>
      <c r="B24" s="77"/>
      <c r="C24" s="78"/>
      <c r="D24" s="71">
        <v>532000</v>
      </c>
      <c r="E24" s="18">
        <f>SUM(งบดุลบัญชี!K124)</f>
        <v>52522.25</v>
      </c>
      <c r="F24" s="18"/>
      <c r="G24" s="76" t="s">
        <v>6</v>
      </c>
      <c r="H24" s="77"/>
      <c r="I24" s="71">
        <v>532000</v>
      </c>
      <c r="J24" s="18">
        <f>SUM(งบดุลบัญชี!Q124)</f>
        <v>622392.15</v>
      </c>
      <c r="K24" s="18"/>
      <c r="L24" s="76" t="s">
        <v>6</v>
      </c>
      <c r="M24" s="77"/>
      <c r="N24" s="71">
        <v>532000</v>
      </c>
      <c r="O24" s="18">
        <f>SUM(งบดุลบัญชี!W124)</f>
        <v>1003763.15</v>
      </c>
      <c r="P24" s="18"/>
      <c r="Q24" s="76" t="s">
        <v>6</v>
      </c>
      <c r="R24" s="77"/>
      <c r="S24" s="78"/>
      <c r="T24" s="71">
        <v>532000</v>
      </c>
      <c r="U24" s="18">
        <f>SUM(งบดุลบัญชี!AC124)</f>
        <v>1634206.9</v>
      </c>
      <c r="V24" s="18"/>
      <c r="W24" s="76" t="s">
        <v>6</v>
      </c>
      <c r="X24" s="77"/>
      <c r="Y24" s="78"/>
      <c r="Z24" s="71">
        <v>532000</v>
      </c>
      <c r="AA24" s="18">
        <f>SUM(งบดุลบัญชี!AI124)</f>
        <v>1736034.4</v>
      </c>
      <c r="AB24" s="18"/>
      <c r="AC24" s="76" t="s">
        <v>6</v>
      </c>
      <c r="AD24" s="77"/>
      <c r="AE24" s="71">
        <v>532000</v>
      </c>
      <c r="AF24" s="88">
        <f>SUM(งบดุลบัญชี!AO124)</f>
        <v>1908466.21</v>
      </c>
      <c r="AG24" s="88"/>
      <c r="AH24" s="76" t="s">
        <v>6</v>
      </c>
      <c r="AI24" s="77"/>
      <c r="AJ24" s="78"/>
      <c r="AK24" s="71">
        <v>532000</v>
      </c>
      <c r="AL24" s="18">
        <f>SUM(งบดุลบัญชี!AU124)</f>
        <v>1908466.21</v>
      </c>
      <c r="AM24" s="18"/>
      <c r="AN24" s="76" t="s">
        <v>6</v>
      </c>
      <c r="AO24" s="77"/>
      <c r="AP24" s="78"/>
      <c r="AQ24" s="71">
        <v>532000</v>
      </c>
      <c r="AR24" s="18">
        <f>SUM(งบดุลบัญชี!BA124)</f>
        <v>2115220.21</v>
      </c>
      <c r="AS24" s="18"/>
      <c r="AT24" s="76" t="s">
        <v>6</v>
      </c>
      <c r="AU24" s="77"/>
      <c r="AV24" s="78"/>
      <c r="AW24" s="71">
        <v>532000</v>
      </c>
      <c r="AX24" s="18">
        <f>SUM(งบดุลบัญชี!BG124)</f>
        <v>2169577.21</v>
      </c>
      <c r="AY24" s="18"/>
      <c r="AZ24" s="76" t="s">
        <v>6</v>
      </c>
      <c r="BA24" s="77"/>
      <c r="BB24" s="78"/>
      <c r="BC24" s="71">
        <v>532000</v>
      </c>
      <c r="BD24" s="18">
        <f>SUM(งบดุลบัญชี!BM124)</f>
        <v>2308642.21</v>
      </c>
      <c r="BE24" s="18"/>
      <c r="BF24" s="76" t="s">
        <v>6</v>
      </c>
      <c r="BG24" s="77"/>
      <c r="BH24" s="78"/>
      <c r="BI24" s="71">
        <v>532000</v>
      </c>
      <c r="BJ24" s="88">
        <f>SUM(งบดุลบัญชี!BS124)</f>
        <v>2741367.46</v>
      </c>
      <c r="BK24" s="19"/>
      <c r="BL24" s="76" t="s">
        <v>6</v>
      </c>
      <c r="BM24" s="77"/>
      <c r="BN24" s="78"/>
      <c r="BO24" s="71">
        <v>532000</v>
      </c>
      <c r="BP24" s="18">
        <f>SUM(งบดุลบัญชี!BY124)</f>
        <v>3374385.96</v>
      </c>
      <c r="BQ24" s="18"/>
      <c r="BR24" s="123"/>
      <c r="BS24" s="124"/>
      <c r="BT24" s="126"/>
      <c r="BU24" s="365"/>
      <c r="BV24" s="364"/>
      <c r="BW24" s="125"/>
    </row>
    <row r="25" spans="1:75" ht="18.75">
      <c r="A25" s="76" t="s">
        <v>7</v>
      </c>
      <c r="B25" s="77"/>
      <c r="C25" s="78"/>
      <c r="D25" s="71">
        <v>533000</v>
      </c>
      <c r="E25" s="18">
        <f>SUM(งบดุลบัญชี!K125)</f>
        <v>7830</v>
      </c>
      <c r="F25" s="18"/>
      <c r="G25" s="76" t="s">
        <v>7</v>
      </c>
      <c r="H25" s="77"/>
      <c r="I25" s="71">
        <v>533000</v>
      </c>
      <c r="J25" s="18">
        <f>SUM(งบดุลบัญชี!Q125)</f>
        <v>114599</v>
      </c>
      <c r="K25" s="18"/>
      <c r="L25" s="76" t="s">
        <v>7</v>
      </c>
      <c r="M25" s="77"/>
      <c r="N25" s="71">
        <v>533000</v>
      </c>
      <c r="O25" s="18">
        <f>SUM(งบดุลบัญชี!W125)</f>
        <v>202049</v>
      </c>
      <c r="P25" s="18"/>
      <c r="Q25" s="76" t="s">
        <v>7</v>
      </c>
      <c r="R25" s="77"/>
      <c r="S25" s="78"/>
      <c r="T25" s="71">
        <v>533000</v>
      </c>
      <c r="U25" s="18">
        <f>SUM(งบดุลบัญชี!AC125)</f>
        <v>345921</v>
      </c>
      <c r="V25" s="18"/>
      <c r="W25" s="76" t="s">
        <v>7</v>
      </c>
      <c r="X25" s="77"/>
      <c r="Y25" s="78"/>
      <c r="Z25" s="71">
        <v>533000</v>
      </c>
      <c r="AA25" s="18">
        <f>SUM(งบดุลบัญชี!AI125)</f>
        <v>417741</v>
      </c>
      <c r="AB25" s="18"/>
      <c r="AC25" s="76" t="s">
        <v>7</v>
      </c>
      <c r="AD25" s="77"/>
      <c r="AE25" s="71">
        <v>533000</v>
      </c>
      <c r="AF25" s="88">
        <f>SUM(งบดุลบัญชี!AO125)</f>
        <v>589774</v>
      </c>
      <c r="AG25" s="88"/>
      <c r="AH25" s="76" t="s">
        <v>7</v>
      </c>
      <c r="AI25" s="77"/>
      <c r="AJ25" s="78"/>
      <c r="AK25" s="71">
        <v>533000</v>
      </c>
      <c r="AL25" s="18">
        <f>SUM(งบดุลบัญชี!AU125)</f>
        <v>589774</v>
      </c>
      <c r="AM25" s="18"/>
      <c r="AN25" s="76" t="s">
        <v>7</v>
      </c>
      <c r="AO25" s="77"/>
      <c r="AP25" s="78"/>
      <c r="AQ25" s="71">
        <v>533000</v>
      </c>
      <c r="AR25" s="18">
        <f>SUM(งบดุลบัญชี!BA125)</f>
        <v>672620</v>
      </c>
      <c r="AS25" s="18"/>
      <c r="AT25" s="76" t="s">
        <v>7</v>
      </c>
      <c r="AU25" s="77"/>
      <c r="AV25" s="78"/>
      <c r="AW25" s="71">
        <v>533000</v>
      </c>
      <c r="AX25" s="18">
        <f>SUM(งบดุลบัญชี!BG125)</f>
        <v>981210.5</v>
      </c>
      <c r="AY25" s="18"/>
      <c r="AZ25" s="76" t="s">
        <v>7</v>
      </c>
      <c r="BA25" s="77"/>
      <c r="BB25" s="78"/>
      <c r="BC25" s="71">
        <v>533000</v>
      </c>
      <c r="BD25" s="18">
        <f>SUM(งบดุลบัญชี!BM125)</f>
        <v>1044464.5</v>
      </c>
      <c r="BE25" s="18"/>
      <c r="BF25" s="76" t="s">
        <v>7</v>
      </c>
      <c r="BG25" s="77"/>
      <c r="BH25" s="78"/>
      <c r="BI25" s="71">
        <v>533000</v>
      </c>
      <c r="BJ25" s="88">
        <f>SUM(งบดุลบัญชี!BS125)</f>
        <v>1166149.5</v>
      </c>
      <c r="BK25" s="18"/>
      <c r="BL25" s="76" t="s">
        <v>7</v>
      </c>
      <c r="BM25" s="77"/>
      <c r="BN25" s="78"/>
      <c r="BO25" s="71">
        <v>533000</v>
      </c>
      <c r="BP25" s="18">
        <f>SUM(งบดุลบัญชี!BY125)</f>
        <v>2563371.5</v>
      </c>
      <c r="BQ25" s="18"/>
      <c r="BR25" s="123"/>
      <c r="BS25" s="124"/>
      <c r="BT25" s="126"/>
      <c r="BU25" s="365"/>
      <c r="BV25" s="125"/>
      <c r="BW25" s="125"/>
    </row>
    <row r="26" spans="1:75" ht="18.75">
      <c r="A26" s="16" t="s">
        <v>8</v>
      </c>
      <c r="B26" s="21"/>
      <c r="C26" s="17"/>
      <c r="D26" s="71">
        <v>534000</v>
      </c>
      <c r="E26" s="18">
        <f>SUM(งบดุลบัญชี!K126)</f>
        <v>85726.58</v>
      </c>
      <c r="F26" s="18"/>
      <c r="G26" s="16" t="s">
        <v>8</v>
      </c>
      <c r="H26" s="21"/>
      <c r="I26" s="71">
        <v>534000</v>
      </c>
      <c r="J26" s="18">
        <f>SUM(งบดุลบัญชี!Q126)</f>
        <v>89372.67</v>
      </c>
      <c r="K26" s="18"/>
      <c r="L26" s="16" t="s">
        <v>8</v>
      </c>
      <c r="M26" s="21"/>
      <c r="N26" s="71">
        <v>534000</v>
      </c>
      <c r="O26" s="18">
        <f>SUM(งบดุลบัญชี!W126)</f>
        <v>160362.01</v>
      </c>
      <c r="P26" s="18"/>
      <c r="Q26" s="16" t="s">
        <v>8</v>
      </c>
      <c r="R26" s="21"/>
      <c r="S26" s="17"/>
      <c r="T26" s="71">
        <v>534000</v>
      </c>
      <c r="U26" s="18">
        <f>SUM(งบดุลบัญชี!AC126)</f>
        <v>236391.57</v>
      </c>
      <c r="V26" s="18"/>
      <c r="W26" s="16" t="s">
        <v>8</v>
      </c>
      <c r="X26" s="21"/>
      <c r="Y26" s="17"/>
      <c r="Z26" s="71">
        <v>534000</v>
      </c>
      <c r="AA26" s="18">
        <f>SUM(งบดุลบัญชี!AI126)</f>
        <v>315107.9</v>
      </c>
      <c r="AB26" s="18"/>
      <c r="AC26" s="16" t="s">
        <v>8</v>
      </c>
      <c r="AD26" s="21"/>
      <c r="AE26" s="71">
        <v>534000</v>
      </c>
      <c r="AF26" s="88">
        <f>SUM(งบดุลบัญชี!AO126)</f>
        <v>500997.9</v>
      </c>
      <c r="AG26" s="88"/>
      <c r="AH26" s="16" t="s">
        <v>8</v>
      </c>
      <c r="AI26" s="21"/>
      <c r="AJ26" s="17"/>
      <c r="AK26" s="71">
        <v>534000</v>
      </c>
      <c r="AL26" s="18">
        <f>SUM(งบดุลบัญชี!AU126)</f>
        <v>500997.9</v>
      </c>
      <c r="AM26" s="18"/>
      <c r="AN26" s="16" t="s">
        <v>8</v>
      </c>
      <c r="AO26" s="21"/>
      <c r="AP26" s="17"/>
      <c r="AQ26" s="71">
        <v>534000</v>
      </c>
      <c r="AR26" s="18">
        <f>SUM(งบดุลบัญชี!BA126)</f>
        <v>581382.64</v>
      </c>
      <c r="AS26" s="18"/>
      <c r="AT26" s="16" t="s">
        <v>8</v>
      </c>
      <c r="AU26" s="21"/>
      <c r="AV26" s="17"/>
      <c r="AW26" s="71">
        <v>534000</v>
      </c>
      <c r="AX26" s="18">
        <f>SUM(งบดุลบัญชี!BG126)</f>
        <v>597533.9500000001</v>
      </c>
      <c r="AY26" s="18"/>
      <c r="AZ26" s="16" t="s">
        <v>8</v>
      </c>
      <c r="BA26" s="21"/>
      <c r="BB26" s="17"/>
      <c r="BC26" s="71">
        <v>534000</v>
      </c>
      <c r="BD26" s="18">
        <f>SUM(งบดุลบัญชี!BM126)</f>
        <v>749434.41</v>
      </c>
      <c r="BE26" s="18"/>
      <c r="BF26" s="16" t="s">
        <v>8</v>
      </c>
      <c r="BG26" s="21"/>
      <c r="BH26" s="17"/>
      <c r="BI26" s="71">
        <v>534000</v>
      </c>
      <c r="BJ26" s="88">
        <f>SUM(งบดุลบัญชี!BS126)</f>
        <v>750232.41</v>
      </c>
      <c r="BK26" s="18"/>
      <c r="BL26" s="16" t="s">
        <v>8</v>
      </c>
      <c r="BM26" s="21"/>
      <c r="BN26" s="17"/>
      <c r="BO26" s="71">
        <v>534000</v>
      </c>
      <c r="BP26" s="18">
        <f>SUM(งบดุลบัญชี!BY126)</f>
        <v>899289.04</v>
      </c>
      <c r="BQ26" s="18"/>
      <c r="BR26" s="123"/>
      <c r="BS26" s="124"/>
      <c r="BT26" s="126"/>
      <c r="BU26" s="365"/>
      <c r="BV26" s="125"/>
      <c r="BW26" s="125"/>
    </row>
    <row r="27" spans="1:75" ht="18.75">
      <c r="A27" s="16" t="s">
        <v>58</v>
      </c>
      <c r="B27" s="21"/>
      <c r="C27" s="17"/>
      <c r="D27" s="71">
        <v>541000</v>
      </c>
      <c r="E27" s="18">
        <f>SUM(งบดุลบัญชี!K127)</f>
        <v>0</v>
      </c>
      <c r="F27" s="18"/>
      <c r="G27" s="16" t="s">
        <v>58</v>
      </c>
      <c r="H27" s="21"/>
      <c r="I27" s="71">
        <v>541000</v>
      </c>
      <c r="J27" s="18">
        <f>SUM(งบดุลบัญชี!Q127)</f>
        <v>7900</v>
      </c>
      <c r="K27" s="18"/>
      <c r="L27" s="16" t="s">
        <v>58</v>
      </c>
      <c r="M27" s="21"/>
      <c r="N27" s="71">
        <v>541000</v>
      </c>
      <c r="O27" s="18">
        <f>SUM(งบดุลบัญชี!W127)</f>
        <v>7900</v>
      </c>
      <c r="P27" s="18"/>
      <c r="Q27" s="16" t="s">
        <v>58</v>
      </c>
      <c r="R27" s="21"/>
      <c r="S27" s="17"/>
      <c r="T27" s="71">
        <v>541000</v>
      </c>
      <c r="U27" s="18">
        <f>SUM(งบดุลบัญชี!AC127)</f>
        <v>93630</v>
      </c>
      <c r="V27" s="18"/>
      <c r="W27" s="16" t="s">
        <v>58</v>
      </c>
      <c r="X27" s="21"/>
      <c r="Y27" s="17"/>
      <c r="Z27" s="71">
        <v>541000</v>
      </c>
      <c r="AA27" s="18">
        <f>SUM(งบดุลบัญชี!AI127)</f>
        <v>113630</v>
      </c>
      <c r="AB27" s="18"/>
      <c r="AC27" s="16" t="s">
        <v>58</v>
      </c>
      <c r="AD27" s="21"/>
      <c r="AE27" s="71">
        <v>541000</v>
      </c>
      <c r="AF27" s="88">
        <f>SUM(งบดุลบัญชี!AO127)</f>
        <v>134180</v>
      </c>
      <c r="AG27" s="88"/>
      <c r="AH27" s="16" t="s">
        <v>58</v>
      </c>
      <c r="AI27" s="21"/>
      <c r="AJ27" s="17"/>
      <c r="AK27" s="71">
        <v>541000</v>
      </c>
      <c r="AL27" s="18">
        <f>SUM(งบดุลบัญชี!AU127)</f>
        <v>134180</v>
      </c>
      <c r="AM27" s="18"/>
      <c r="AN27" s="16" t="s">
        <v>58</v>
      </c>
      <c r="AO27" s="21"/>
      <c r="AP27" s="17"/>
      <c r="AQ27" s="71">
        <v>541000</v>
      </c>
      <c r="AR27" s="18">
        <f>SUM(งบดุลบัญชี!BA127)</f>
        <v>141180</v>
      </c>
      <c r="AS27" s="18"/>
      <c r="AT27" s="16" t="s">
        <v>58</v>
      </c>
      <c r="AU27" s="21"/>
      <c r="AV27" s="17"/>
      <c r="AW27" s="71">
        <v>541000</v>
      </c>
      <c r="AX27" s="18">
        <f>SUM(งบดุลบัญชี!BG127)</f>
        <v>141180</v>
      </c>
      <c r="AY27" s="18"/>
      <c r="AZ27" s="16" t="s">
        <v>58</v>
      </c>
      <c r="BA27" s="21"/>
      <c r="BB27" s="17"/>
      <c r="BC27" s="71">
        <v>541000</v>
      </c>
      <c r="BD27" s="18">
        <f>SUM(งบดุลบัญชี!BM127)</f>
        <v>213180</v>
      </c>
      <c r="BE27" s="18"/>
      <c r="BF27" s="16" t="s">
        <v>58</v>
      </c>
      <c r="BG27" s="21"/>
      <c r="BH27" s="17"/>
      <c r="BI27" s="71">
        <v>541000</v>
      </c>
      <c r="BJ27" s="88">
        <f>SUM(งบดุลบัญชี!BS127)</f>
        <v>213180</v>
      </c>
      <c r="BK27" s="18"/>
      <c r="BL27" s="16" t="s">
        <v>58</v>
      </c>
      <c r="BM27" s="21"/>
      <c r="BN27" s="17"/>
      <c r="BO27" s="71">
        <v>541000</v>
      </c>
      <c r="BP27" s="18">
        <f>SUM(งบดุลบัญชี!BY127)</f>
        <v>424296</v>
      </c>
      <c r="BQ27" s="18"/>
      <c r="BR27" s="123"/>
      <c r="BS27" s="124"/>
      <c r="BT27" s="126"/>
      <c r="BU27" s="365"/>
      <c r="BV27" s="125"/>
      <c r="BW27" s="125"/>
    </row>
    <row r="28" spans="1:75" ht="18.75">
      <c r="A28" s="16" t="s">
        <v>10</v>
      </c>
      <c r="B28" s="21"/>
      <c r="C28" s="17"/>
      <c r="D28" s="71">
        <v>542000</v>
      </c>
      <c r="E28" s="18">
        <f>SUM(งบดุลบัญชี!K128)</f>
        <v>0</v>
      </c>
      <c r="F28" s="18"/>
      <c r="G28" s="16" t="s">
        <v>10</v>
      </c>
      <c r="H28" s="21"/>
      <c r="I28" s="71">
        <v>542000</v>
      </c>
      <c r="J28" s="18">
        <f>SUM(งบดุลบัญชี!Q128)</f>
        <v>98500</v>
      </c>
      <c r="K28" s="18"/>
      <c r="L28" s="16" t="s">
        <v>10</v>
      </c>
      <c r="M28" s="21"/>
      <c r="N28" s="71">
        <v>542000</v>
      </c>
      <c r="O28" s="18">
        <f>SUM(งบดุลบัญชี!W128)</f>
        <v>98500</v>
      </c>
      <c r="P28" s="18"/>
      <c r="Q28" s="16" t="s">
        <v>10</v>
      </c>
      <c r="R28" s="21"/>
      <c r="S28" s="17"/>
      <c r="T28" s="71">
        <v>542000</v>
      </c>
      <c r="U28" s="18">
        <f>SUM(งบดุลบัญชี!AC128)</f>
        <v>132200</v>
      </c>
      <c r="V28" s="18"/>
      <c r="W28" s="16" t="s">
        <v>10</v>
      </c>
      <c r="X28" s="21"/>
      <c r="Y28" s="17"/>
      <c r="Z28" s="71">
        <v>542000</v>
      </c>
      <c r="AA28" s="18">
        <f>SUM(งบดุลบัญชี!AI128)</f>
        <v>132200</v>
      </c>
      <c r="AB28" s="18"/>
      <c r="AC28" s="16" t="s">
        <v>10</v>
      </c>
      <c r="AD28" s="21"/>
      <c r="AE28" s="71">
        <v>542000</v>
      </c>
      <c r="AF28" s="88">
        <f>SUM(งบดุลบัญชี!AO128)</f>
        <v>132200</v>
      </c>
      <c r="AG28" s="88"/>
      <c r="AH28" s="16" t="s">
        <v>10</v>
      </c>
      <c r="AI28" s="21"/>
      <c r="AJ28" s="17"/>
      <c r="AK28" s="71">
        <v>542000</v>
      </c>
      <c r="AL28" s="18">
        <f>SUM(งบดุลบัญชี!AU128)</f>
        <v>132200</v>
      </c>
      <c r="AM28" s="18"/>
      <c r="AN28" s="16" t="s">
        <v>10</v>
      </c>
      <c r="AO28" s="21"/>
      <c r="AP28" s="17"/>
      <c r="AQ28" s="71">
        <v>542000</v>
      </c>
      <c r="AR28" s="18">
        <f>SUM(งบดุลบัญชี!BA128)</f>
        <v>307500</v>
      </c>
      <c r="AS28" s="18"/>
      <c r="AT28" s="16" t="s">
        <v>10</v>
      </c>
      <c r="AU28" s="21"/>
      <c r="AV28" s="17"/>
      <c r="AW28" s="71">
        <v>542000</v>
      </c>
      <c r="AX28" s="18">
        <f>SUM(งบดุลบัญชี!BG128)</f>
        <v>307500</v>
      </c>
      <c r="AY28" s="18"/>
      <c r="AZ28" s="16" t="s">
        <v>10</v>
      </c>
      <c r="BA28" s="21"/>
      <c r="BB28" s="17"/>
      <c r="BC28" s="71">
        <v>542000</v>
      </c>
      <c r="BD28" s="18">
        <f>SUM(งบดุลบัญชี!BM128)</f>
        <v>402500</v>
      </c>
      <c r="BE28" s="18"/>
      <c r="BF28" s="16" t="s">
        <v>10</v>
      </c>
      <c r="BG28" s="21"/>
      <c r="BH28" s="17"/>
      <c r="BI28" s="71">
        <v>542000</v>
      </c>
      <c r="BJ28" s="88">
        <f>SUM(งบดุลบัญชี!BS128)</f>
        <v>447500</v>
      </c>
      <c r="BK28" s="18"/>
      <c r="BL28" s="16" t="s">
        <v>10</v>
      </c>
      <c r="BM28" s="21"/>
      <c r="BN28" s="17"/>
      <c r="BO28" s="71">
        <v>542000</v>
      </c>
      <c r="BP28" s="18">
        <f>SUM(งบดุลบัญชี!BY128)</f>
        <v>5497140</v>
      </c>
      <c r="BQ28" s="18"/>
      <c r="BR28" s="123"/>
      <c r="BS28" s="124"/>
      <c r="BT28" s="126"/>
      <c r="BU28" s="365"/>
      <c r="BV28" s="125"/>
      <c r="BW28" s="125"/>
    </row>
    <row r="29" spans="1:75" ht="18.75">
      <c r="A29" s="16" t="s">
        <v>12</v>
      </c>
      <c r="B29" s="21"/>
      <c r="C29" s="17"/>
      <c r="D29" s="71">
        <v>550000</v>
      </c>
      <c r="E29" s="18">
        <f>SUM(งบดุลบัญชี!K130)</f>
        <v>0</v>
      </c>
      <c r="F29" s="18"/>
      <c r="G29" s="16" t="s">
        <v>12</v>
      </c>
      <c r="H29" s="21"/>
      <c r="I29" s="71">
        <v>550000</v>
      </c>
      <c r="J29" s="18">
        <f>SUM(งบดุลบัญชี!Q130)</f>
        <v>0</v>
      </c>
      <c r="K29" s="18"/>
      <c r="L29" s="16" t="s">
        <v>12</v>
      </c>
      <c r="M29" s="21"/>
      <c r="N29" s="71">
        <v>550000</v>
      </c>
      <c r="O29" s="18">
        <f>SUM(งบดุลบัญชี!W130)</f>
        <v>0</v>
      </c>
      <c r="P29" s="18"/>
      <c r="Q29" s="16" t="s">
        <v>12</v>
      </c>
      <c r="R29" s="21"/>
      <c r="S29" s="17"/>
      <c r="T29" s="71">
        <v>550000</v>
      </c>
      <c r="U29" s="18">
        <f>SUM(งบดุลบัญชี!AC130)</f>
        <v>0</v>
      </c>
      <c r="V29" s="18"/>
      <c r="W29" s="16" t="s">
        <v>12</v>
      </c>
      <c r="X29" s="21"/>
      <c r="Y29" s="17"/>
      <c r="Z29" s="71">
        <v>550000</v>
      </c>
      <c r="AA29" s="18">
        <f>SUM(งบดุลบัญชี!AI130)</f>
        <v>0</v>
      </c>
      <c r="AB29" s="18"/>
      <c r="AC29" s="16" t="s">
        <v>12</v>
      </c>
      <c r="AD29" s="21"/>
      <c r="AE29" s="71">
        <v>550000</v>
      </c>
      <c r="AF29" s="88">
        <f>SUM(งบดุลบัญชี!AO130)</f>
        <v>0</v>
      </c>
      <c r="AG29" s="88"/>
      <c r="AH29" s="16" t="s">
        <v>12</v>
      </c>
      <c r="AI29" s="21"/>
      <c r="AJ29" s="17"/>
      <c r="AK29" s="71">
        <v>550000</v>
      </c>
      <c r="AL29" s="18">
        <f>SUM(งบดุลบัญชี!AU130)</f>
        <v>0</v>
      </c>
      <c r="AM29" s="18"/>
      <c r="AN29" s="16" t="s">
        <v>12</v>
      </c>
      <c r="AO29" s="21"/>
      <c r="AP29" s="17"/>
      <c r="AQ29" s="71">
        <v>550000</v>
      </c>
      <c r="AR29" s="18">
        <f>SUM(งบดุลบัญชี!BA130)</f>
        <v>0</v>
      </c>
      <c r="AS29" s="18"/>
      <c r="AT29" s="16" t="s">
        <v>12</v>
      </c>
      <c r="AU29" s="21"/>
      <c r="AV29" s="17"/>
      <c r="AW29" s="71">
        <v>550000</v>
      </c>
      <c r="AX29" s="18">
        <f>SUM(งบดุลบัญชี!BG130)</f>
        <v>0</v>
      </c>
      <c r="AY29" s="18"/>
      <c r="AZ29" s="16" t="s">
        <v>12</v>
      </c>
      <c r="BA29" s="21"/>
      <c r="BB29" s="17"/>
      <c r="BC29" s="71">
        <v>550000</v>
      </c>
      <c r="BD29" s="18">
        <f>SUM(งบดุลบัญชี!BM130)</f>
        <v>0</v>
      </c>
      <c r="BE29" s="18"/>
      <c r="BF29" s="16" t="s">
        <v>12</v>
      </c>
      <c r="BG29" s="21"/>
      <c r="BH29" s="17"/>
      <c r="BI29" s="71">
        <v>550000</v>
      </c>
      <c r="BJ29" s="88">
        <f>SUM(งบดุลบัญชี!BS130)</f>
        <v>0</v>
      </c>
      <c r="BK29" s="18"/>
      <c r="BL29" s="16" t="s">
        <v>12</v>
      </c>
      <c r="BM29" s="21"/>
      <c r="BN29" s="17"/>
      <c r="BO29" s="71">
        <v>550000</v>
      </c>
      <c r="BP29" s="18">
        <f>SUM(งบดุลบัญชี!BY130)</f>
        <v>25000</v>
      </c>
      <c r="BQ29" s="18"/>
      <c r="BR29" s="138"/>
      <c r="BS29" s="366"/>
      <c r="BT29" s="367"/>
      <c r="BU29" s="365"/>
      <c r="BV29" s="125"/>
      <c r="BW29" s="125"/>
    </row>
    <row r="30" spans="1:75" ht="18.75">
      <c r="A30" s="16" t="s">
        <v>13</v>
      </c>
      <c r="B30" s="21"/>
      <c r="C30" s="17"/>
      <c r="D30" s="72">
        <v>560000</v>
      </c>
      <c r="E30" s="18">
        <f>SUM(งบดุลบัญชี!K129)</f>
        <v>0</v>
      </c>
      <c r="F30" s="18"/>
      <c r="G30" s="16" t="s">
        <v>13</v>
      </c>
      <c r="H30" s="21"/>
      <c r="I30" s="72">
        <v>560000</v>
      </c>
      <c r="J30" s="18">
        <f>SUM(งบดุลบัญชี!Q129)</f>
        <v>921000</v>
      </c>
      <c r="K30" s="18"/>
      <c r="L30" s="16" t="s">
        <v>13</v>
      </c>
      <c r="M30" s="21"/>
      <c r="N30" s="72">
        <v>560000</v>
      </c>
      <c r="O30" s="18">
        <f>SUM(งบดุลบัญชี!W129)</f>
        <v>1012000</v>
      </c>
      <c r="P30" s="18"/>
      <c r="Q30" s="16" t="s">
        <v>13</v>
      </c>
      <c r="R30" s="21"/>
      <c r="S30" s="17"/>
      <c r="T30" s="72">
        <v>560000</v>
      </c>
      <c r="U30" s="18">
        <f>SUM(งบดุลบัญชี!AC129)</f>
        <v>1933000</v>
      </c>
      <c r="V30" s="18"/>
      <c r="W30" s="16" t="s">
        <v>13</v>
      </c>
      <c r="X30" s="21"/>
      <c r="Y30" s="17"/>
      <c r="Z30" s="72">
        <v>560000</v>
      </c>
      <c r="AA30" s="18">
        <f>SUM(งบดุลบัญชี!AI129)</f>
        <v>1933000</v>
      </c>
      <c r="AB30" s="18"/>
      <c r="AC30" s="16" t="s">
        <v>13</v>
      </c>
      <c r="AD30" s="21"/>
      <c r="AE30" s="564">
        <v>560000</v>
      </c>
      <c r="AF30" s="88">
        <f>SUM(งบดุลบัญชี!AO129)</f>
        <v>2173000</v>
      </c>
      <c r="AG30" s="88"/>
      <c r="AH30" s="16" t="s">
        <v>13</v>
      </c>
      <c r="AI30" s="21"/>
      <c r="AJ30" s="17"/>
      <c r="AK30" s="72">
        <v>560000</v>
      </c>
      <c r="AL30" s="18">
        <f>SUM(งบดุลบัญชี!AU129)</f>
        <v>2173000</v>
      </c>
      <c r="AM30" s="18"/>
      <c r="AN30" s="16" t="s">
        <v>13</v>
      </c>
      <c r="AO30" s="21"/>
      <c r="AP30" s="17"/>
      <c r="AQ30" s="72">
        <v>560000</v>
      </c>
      <c r="AR30" s="18">
        <f>SUM(งบดุลบัญชี!BA129)</f>
        <v>3272800</v>
      </c>
      <c r="AS30" s="18"/>
      <c r="AT30" s="16" t="s">
        <v>13</v>
      </c>
      <c r="AU30" s="21"/>
      <c r="AV30" s="17"/>
      <c r="AW30" s="72">
        <v>560000</v>
      </c>
      <c r="AX30" s="18">
        <f>SUM(งบดุลบัญชี!BG129)</f>
        <v>3383800</v>
      </c>
      <c r="AY30" s="18"/>
      <c r="AZ30" s="16" t="s">
        <v>13</v>
      </c>
      <c r="BA30" s="21"/>
      <c r="BB30" s="17"/>
      <c r="BC30" s="72">
        <v>560000</v>
      </c>
      <c r="BD30" s="18">
        <f>SUM(งบดุลบัญชี!BM129)</f>
        <v>3387800</v>
      </c>
      <c r="BE30" s="18"/>
      <c r="BF30" s="16" t="s">
        <v>13</v>
      </c>
      <c r="BG30" s="21"/>
      <c r="BH30" s="17"/>
      <c r="BI30" s="72">
        <v>560000</v>
      </c>
      <c r="BJ30" s="88">
        <f>SUM(งบดุลบัญชี!BS129)</f>
        <v>3391800</v>
      </c>
      <c r="BK30" s="19"/>
      <c r="BL30" s="16" t="s">
        <v>13</v>
      </c>
      <c r="BM30" s="21"/>
      <c r="BN30" s="17"/>
      <c r="BO30" s="72">
        <v>560000</v>
      </c>
      <c r="BP30" s="18">
        <f>SUM(งบดุลบัญชี!BY129)</f>
        <v>3408800</v>
      </c>
      <c r="BQ30" s="18"/>
      <c r="BR30" s="138"/>
      <c r="BS30" s="366"/>
      <c r="BT30" s="367"/>
      <c r="BU30" s="365"/>
      <c r="BV30" s="125"/>
      <c r="BW30" s="125"/>
    </row>
    <row r="31" spans="1:75" ht="18.75">
      <c r="A31" s="16" t="s">
        <v>160</v>
      </c>
      <c r="B31" s="21"/>
      <c r="C31" s="17"/>
      <c r="D31" s="71">
        <v>400000</v>
      </c>
      <c r="E31" s="70"/>
      <c r="F31" s="18">
        <f>SUM(งบดุลบัญชี!L107)</f>
        <v>655305.8200000001</v>
      </c>
      <c r="G31" s="16" t="s">
        <v>160</v>
      </c>
      <c r="H31" s="21"/>
      <c r="I31" s="71">
        <v>400000</v>
      </c>
      <c r="J31" s="70"/>
      <c r="K31" s="18">
        <f>SUM(งบดุลบัญชี!R107)</f>
        <v>6270049.8</v>
      </c>
      <c r="L31" s="16" t="s">
        <v>160</v>
      </c>
      <c r="M31" s="21"/>
      <c r="N31" s="71">
        <v>400000</v>
      </c>
      <c r="O31" s="70"/>
      <c r="P31" s="18">
        <f>SUM(งบดุลบัญชี!X107)</f>
        <v>23444647.46</v>
      </c>
      <c r="Q31" s="16" t="s">
        <v>160</v>
      </c>
      <c r="R31" s="21"/>
      <c r="S31" s="17"/>
      <c r="T31" s="71">
        <v>400000</v>
      </c>
      <c r="U31" s="70"/>
      <c r="V31" s="18">
        <f>SUM(งบดุลบัญชี!AD107)</f>
        <v>25985999.39</v>
      </c>
      <c r="W31" s="16" t="s">
        <v>160</v>
      </c>
      <c r="X31" s="21"/>
      <c r="Y31" s="17"/>
      <c r="Z31" s="71">
        <v>400000</v>
      </c>
      <c r="AA31" s="70"/>
      <c r="AB31" s="18">
        <f>SUM(งบดุลบัญชี!AJ107)</f>
        <v>36140857.68</v>
      </c>
      <c r="AC31" s="16" t="s">
        <v>160</v>
      </c>
      <c r="AD31" s="21"/>
      <c r="AE31" s="71">
        <v>400000</v>
      </c>
      <c r="AF31" s="588"/>
      <c r="AG31" s="88">
        <f>SUM(งบดุลบัญชี!AP107)</f>
        <v>36546341.910000004</v>
      </c>
      <c r="AH31" s="16" t="s">
        <v>160</v>
      </c>
      <c r="AI31" s="21"/>
      <c r="AJ31" s="17"/>
      <c r="AK31" s="71">
        <v>400000</v>
      </c>
      <c r="AL31" s="70"/>
      <c r="AM31" s="18">
        <f>SUM(งบดุลบัญชี!AV107)</f>
        <v>36546341.910000004</v>
      </c>
      <c r="AN31" s="16" t="s">
        <v>160</v>
      </c>
      <c r="AO31" s="21"/>
      <c r="AP31" s="17"/>
      <c r="AQ31" s="71">
        <v>400000</v>
      </c>
      <c r="AR31" s="70"/>
      <c r="AS31" s="18">
        <f>SUM(งบดุลบัญชี!BB107)</f>
        <v>41166732.46</v>
      </c>
      <c r="AT31" s="16" t="s">
        <v>160</v>
      </c>
      <c r="AU31" s="21"/>
      <c r="AV31" s="17"/>
      <c r="AW31" s="71">
        <v>400000</v>
      </c>
      <c r="AX31" s="70"/>
      <c r="AY31" s="18">
        <f>SUM(งบดุลบัญชี!BH107)</f>
        <v>42293955.15</v>
      </c>
      <c r="AZ31" s="16" t="s">
        <v>160</v>
      </c>
      <c r="BA31" s="21"/>
      <c r="BB31" s="17"/>
      <c r="BC31" s="71">
        <v>400000</v>
      </c>
      <c r="BD31" s="70"/>
      <c r="BE31" s="18">
        <f>SUM(งบดุลบัญชี!BN107)</f>
        <v>44433365.879999995</v>
      </c>
      <c r="BF31" s="16" t="s">
        <v>160</v>
      </c>
      <c r="BG31" s="21"/>
      <c r="BH31" s="17"/>
      <c r="BI31" s="71">
        <v>400000</v>
      </c>
      <c r="BJ31" s="70"/>
      <c r="BK31" s="18">
        <f>SUM(งบดุลบัญชี!BT107)</f>
        <v>45266896.089999996</v>
      </c>
      <c r="BL31" s="16" t="s">
        <v>160</v>
      </c>
      <c r="BM31" s="21"/>
      <c r="BN31" s="17"/>
      <c r="BO31" s="71">
        <v>400000</v>
      </c>
      <c r="BP31" s="70"/>
      <c r="BQ31" s="18">
        <f>SUM(งบดุลบัญชี!BZ107)</f>
        <v>46711268.48</v>
      </c>
      <c r="BR31" s="123"/>
      <c r="BS31" s="124"/>
      <c r="BT31" s="126"/>
      <c r="BU31" s="146"/>
      <c r="BV31" s="125"/>
      <c r="BW31" s="125"/>
    </row>
    <row r="32" spans="1:75" ht="18.75">
      <c r="A32" s="16" t="s">
        <v>323</v>
      </c>
      <c r="B32" s="21"/>
      <c r="C32" s="17"/>
      <c r="D32" s="71">
        <v>230100</v>
      </c>
      <c r="E32" s="70"/>
      <c r="F32" s="18">
        <f>SUM(งบดุลบัญชี!L33)</f>
        <v>417902.91</v>
      </c>
      <c r="G32" s="16" t="s">
        <v>323</v>
      </c>
      <c r="H32" s="21"/>
      <c r="I32" s="71">
        <v>230100</v>
      </c>
      <c r="J32" s="70"/>
      <c r="K32" s="18">
        <f>SUM(งบดุลบัญชี!R33)</f>
        <v>421045.64999999997</v>
      </c>
      <c r="L32" s="16" t="s">
        <v>323</v>
      </c>
      <c r="M32" s="21"/>
      <c r="N32" s="71">
        <v>230100</v>
      </c>
      <c r="O32" s="70"/>
      <c r="P32" s="18">
        <f>SUM(งบดุลบัญชี!X33)</f>
        <v>599651.64</v>
      </c>
      <c r="Q32" s="16" t="s">
        <v>323</v>
      </c>
      <c r="R32" s="21"/>
      <c r="S32" s="17"/>
      <c r="T32" s="71">
        <v>230100</v>
      </c>
      <c r="U32" s="70"/>
      <c r="V32" s="18">
        <f>SUM(งบดุลบัญชี!AD33)</f>
        <v>462555.14999999997</v>
      </c>
      <c r="W32" s="16" t="s">
        <v>323</v>
      </c>
      <c r="X32" s="21"/>
      <c r="Y32" s="17"/>
      <c r="Z32" s="71">
        <v>230100</v>
      </c>
      <c r="AA32" s="70"/>
      <c r="AB32" s="18">
        <f>SUM(งบดุลบัญชี!AJ33)</f>
        <v>562369.03</v>
      </c>
      <c r="AC32" s="16" t="s">
        <v>323</v>
      </c>
      <c r="AD32" s="21"/>
      <c r="AE32" s="71">
        <v>230100</v>
      </c>
      <c r="AF32" s="588"/>
      <c r="AG32" s="88">
        <f>SUM(งบดุลบัญชี!AP33)</f>
        <v>697526.5299999999</v>
      </c>
      <c r="AH32" s="16" t="s">
        <v>323</v>
      </c>
      <c r="AI32" s="21"/>
      <c r="AJ32" s="17"/>
      <c r="AK32" s="71">
        <v>230100</v>
      </c>
      <c r="AL32" s="70"/>
      <c r="AM32" s="18">
        <f>SUM(งบดุลบัญชี!AV33)</f>
        <v>697526.5299999999</v>
      </c>
      <c r="AN32" s="16" t="s">
        <v>323</v>
      </c>
      <c r="AO32" s="21"/>
      <c r="AP32" s="17"/>
      <c r="AQ32" s="71">
        <v>230100</v>
      </c>
      <c r="AR32" s="70"/>
      <c r="AS32" s="18">
        <f>SUM(งบดุลบัญชี!BB33)</f>
        <v>738072.08</v>
      </c>
      <c r="AT32" s="16" t="s">
        <v>323</v>
      </c>
      <c r="AU32" s="21"/>
      <c r="AV32" s="17"/>
      <c r="AW32" s="71">
        <v>230100</v>
      </c>
      <c r="AX32" s="70"/>
      <c r="AY32" s="18">
        <f>SUM(งบดุลบัญชี!BH33)</f>
        <v>689775.34</v>
      </c>
      <c r="AZ32" s="16" t="s">
        <v>323</v>
      </c>
      <c r="BA32" s="21"/>
      <c r="BB32" s="17"/>
      <c r="BC32" s="71">
        <v>230100</v>
      </c>
      <c r="BD32" s="70"/>
      <c r="BE32" s="18">
        <f>SUM(งบดุลบัญชี!BN33)</f>
        <v>450031.18</v>
      </c>
      <c r="BF32" s="16" t="s">
        <v>323</v>
      </c>
      <c r="BG32" s="21"/>
      <c r="BH32" s="17"/>
      <c r="BI32" s="71">
        <v>230100</v>
      </c>
      <c r="BJ32" s="70"/>
      <c r="BK32" s="18">
        <f>SUM(งบดุลบัญชี!BT33)</f>
        <v>431094.7</v>
      </c>
      <c r="BL32" s="16" t="s">
        <v>323</v>
      </c>
      <c r="BM32" s="21"/>
      <c r="BN32" s="17"/>
      <c r="BO32" s="71">
        <v>230100</v>
      </c>
      <c r="BP32" s="70"/>
      <c r="BQ32" s="18">
        <f>SUM(งบดุลบัญชี!BZ33)</f>
        <v>455660.66</v>
      </c>
      <c r="BR32" s="123"/>
      <c r="BS32" s="124"/>
      <c r="BT32" s="126"/>
      <c r="BU32" s="365"/>
      <c r="BV32" s="364"/>
      <c r="BW32" s="125"/>
    </row>
    <row r="33" spans="1:75" ht="18.75">
      <c r="A33" s="16" t="s">
        <v>324</v>
      </c>
      <c r="B33" s="21"/>
      <c r="C33" s="17"/>
      <c r="D33" s="71">
        <v>210402</v>
      </c>
      <c r="E33" s="70"/>
      <c r="F33" s="18">
        <f>SUM(งบดุลบัญชี!L27)</f>
        <v>4942470</v>
      </c>
      <c r="G33" s="16" t="s">
        <v>324</v>
      </c>
      <c r="H33" s="21"/>
      <c r="I33" s="71">
        <v>210402</v>
      </c>
      <c r="J33" s="70"/>
      <c r="K33" s="18">
        <f>SUM(งบดุลบัญชี!R27)</f>
        <v>4942470</v>
      </c>
      <c r="L33" s="16" t="s">
        <v>324</v>
      </c>
      <c r="M33" s="21"/>
      <c r="N33" s="71">
        <v>210402</v>
      </c>
      <c r="O33" s="70"/>
      <c r="P33" s="18">
        <f>SUM(งบดุลบัญชี!X27)</f>
        <v>4942470</v>
      </c>
      <c r="Q33" s="16" t="s">
        <v>324</v>
      </c>
      <c r="R33" s="21"/>
      <c r="S33" s="17"/>
      <c r="T33" s="71">
        <v>210402</v>
      </c>
      <c r="U33" s="70"/>
      <c r="V33" s="18">
        <f>SUM(งบดุลบัญชี!AD27)</f>
        <v>4942470</v>
      </c>
      <c r="W33" s="16" t="s">
        <v>324</v>
      </c>
      <c r="X33" s="21"/>
      <c r="Y33" s="17"/>
      <c r="Z33" s="71">
        <v>210402</v>
      </c>
      <c r="AA33" s="70"/>
      <c r="AB33" s="18">
        <f>SUM(งบดุลบัญชี!AJ27)</f>
        <v>4689770</v>
      </c>
      <c r="AC33" s="16" t="s">
        <v>324</v>
      </c>
      <c r="AD33" s="21"/>
      <c r="AE33" s="71">
        <v>210402</v>
      </c>
      <c r="AF33" s="588"/>
      <c r="AG33" s="88">
        <f>SUM(งบดุลบัญชี!AP27)</f>
        <v>1522870</v>
      </c>
      <c r="AH33" s="16" t="s">
        <v>324</v>
      </c>
      <c r="AI33" s="21"/>
      <c r="AJ33" s="17"/>
      <c r="AK33" s="71">
        <v>210402</v>
      </c>
      <c r="AL33" s="70"/>
      <c r="AM33" s="18">
        <f>SUM(งบดุลบัญชี!AV27)</f>
        <v>1522870</v>
      </c>
      <c r="AN33" s="16" t="s">
        <v>324</v>
      </c>
      <c r="AO33" s="21"/>
      <c r="AP33" s="17"/>
      <c r="AQ33" s="71">
        <v>210402</v>
      </c>
      <c r="AR33" s="70"/>
      <c r="AS33" s="18">
        <f>SUM(งบดุลบัญชี!BB27)</f>
        <v>1522870</v>
      </c>
      <c r="AT33" s="16" t="s">
        <v>324</v>
      </c>
      <c r="AU33" s="21"/>
      <c r="AV33" s="17"/>
      <c r="AW33" s="71">
        <v>210402</v>
      </c>
      <c r="AX33" s="70"/>
      <c r="AY33" s="18">
        <f>SUM(งบดุลบัญชี!BH27)</f>
        <v>1522870</v>
      </c>
      <c r="AZ33" s="16" t="s">
        <v>324</v>
      </c>
      <c r="BA33" s="21"/>
      <c r="BB33" s="17"/>
      <c r="BC33" s="71">
        <v>210402</v>
      </c>
      <c r="BD33" s="70"/>
      <c r="BE33" s="18">
        <f>SUM(งบดุลบัญชี!BN27)</f>
        <v>1522870</v>
      </c>
      <c r="BF33" s="16" t="s">
        <v>324</v>
      </c>
      <c r="BG33" s="21"/>
      <c r="BH33" s="17"/>
      <c r="BI33" s="71">
        <v>210402</v>
      </c>
      <c r="BJ33" s="70"/>
      <c r="BK33" s="18">
        <f>SUM(งบดุลบัญชี!BT27)</f>
        <v>1522870</v>
      </c>
      <c r="BL33" s="16" t="s">
        <v>324</v>
      </c>
      <c r="BM33" s="21"/>
      <c r="BN33" s="17"/>
      <c r="BO33" s="71">
        <v>210402</v>
      </c>
      <c r="BP33" s="70"/>
      <c r="BQ33" s="18">
        <f>SUM(งบดุลบัญชี!BZ27)</f>
        <v>6623250</v>
      </c>
      <c r="BR33" s="123"/>
      <c r="BS33" s="124"/>
      <c r="BT33" s="126"/>
      <c r="BU33" s="365"/>
      <c r="BV33" s="364"/>
      <c r="BW33" s="125"/>
    </row>
    <row r="34" spans="1:75" ht="18.75">
      <c r="A34" s="16" t="s">
        <v>91</v>
      </c>
      <c r="B34" s="21"/>
      <c r="C34" s="17"/>
      <c r="D34" s="71">
        <v>210500</v>
      </c>
      <c r="E34" s="70"/>
      <c r="F34" s="18">
        <f>SUM(งบดุลบัญชี!L28)</f>
        <v>0</v>
      </c>
      <c r="G34" s="16" t="s">
        <v>91</v>
      </c>
      <c r="H34" s="21"/>
      <c r="I34" s="71">
        <v>210500</v>
      </c>
      <c r="J34" s="70"/>
      <c r="K34" s="18">
        <f>SUM(งบดุลบัญชี!R28)</f>
        <v>0</v>
      </c>
      <c r="L34" s="16" t="s">
        <v>91</v>
      </c>
      <c r="M34" s="21"/>
      <c r="N34" s="71">
        <v>210500</v>
      </c>
      <c r="O34" s="70"/>
      <c r="P34" s="18">
        <f>SUM(งบดุลบัญชี!X28)</f>
        <v>0</v>
      </c>
      <c r="Q34" s="16" t="s">
        <v>91</v>
      </c>
      <c r="R34" s="21"/>
      <c r="S34" s="17"/>
      <c r="T34" s="71">
        <v>210500</v>
      </c>
      <c r="U34" s="70"/>
      <c r="V34" s="18">
        <f>SUM(งบดุลบัญชี!AD28)</f>
        <v>0</v>
      </c>
      <c r="W34" s="16" t="s">
        <v>91</v>
      </c>
      <c r="X34" s="21"/>
      <c r="Y34" s="17"/>
      <c r="Z34" s="71">
        <v>210500</v>
      </c>
      <c r="AA34" s="70"/>
      <c r="AB34" s="18">
        <f>SUM(งบดุลบัญชี!AJ28)</f>
        <v>0</v>
      </c>
      <c r="AC34" s="16" t="s">
        <v>91</v>
      </c>
      <c r="AD34" s="21"/>
      <c r="AE34" s="71">
        <v>210500</v>
      </c>
      <c r="AF34" s="588"/>
      <c r="AG34" s="88">
        <f>SUM(งบดุลบัญชี!AP28)</f>
        <v>0</v>
      </c>
      <c r="AH34" s="16" t="s">
        <v>91</v>
      </c>
      <c r="AI34" s="21"/>
      <c r="AJ34" s="17"/>
      <c r="AK34" s="71">
        <v>210500</v>
      </c>
      <c r="AL34" s="70"/>
      <c r="AM34" s="18">
        <f>SUM(งบดุลบัญชี!AV28)</f>
        <v>0</v>
      </c>
      <c r="AN34" s="16" t="s">
        <v>91</v>
      </c>
      <c r="AO34" s="21"/>
      <c r="AP34" s="17"/>
      <c r="AQ34" s="71">
        <v>210500</v>
      </c>
      <c r="AR34" s="70"/>
      <c r="AS34" s="18">
        <f>SUM(งบดุลบัญชี!BB28)</f>
        <v>0</v>
      </c>
      <c r="AT34" s="16" t="s">
        <v>91</v>
      </c>
      <c r="AU34" s="21"/>
      <c r="AV34" s="17"/>
      <c r="AW34" s="71">
        <v>210500</v>
      </c>
      <c r="AX34" s="70"/>
      <c r="AY34" s="18">
        <f>SUM(งบดุลบัญชี!BH28)</f>
        <v>0</v>
      </c>
      <c r="AZ34" s="16" t="s">
        <v>91</v>
      </c>
      <c r="BA34" s="21"/>
      <c r="BB34" s="17"/>
      <c r="BC34" s="71">
        <v>210500</v>
      </c>
      <c r="BD34" s="70"/>
      <c r="BE34" s="18">
        <f>SUM(งบดุลบัญชี!BN28)</f>
        <v>0</v>
      </c>
      <c r="BF34" s="16" t="s">
        <v>91</v>
      </c>
      <c r="BG34" s="21"/>
      <c r="BH34" s="17"/>
      <c r="BI34" s="71">
        <v>210500</v>
      </c>
      <c r="BJ34" s="70"/>
      <c r="BK34" s="18">
        <f>SUM(งบดุลบัญชี!BT28)</f>
        <v>0</v>
      </c>
      <c r="BL34" s="16" t="s">
        <v>91</v>
      </c>
      <c r="BM34" s="21"/>
      <c r="BN34" s="17"/>
      <c r="BO34" s="71">
        <v>210500</v>
      </c>
      <c r="BP34" s="70"/>
      <c r="BQ34" s="18">
        <f>SUM(งบดุลบัญชี!BZ28)</f>
        <v>0</v>
      </c>
      <c r="BR34" s="127"/>
      <c r="BS34" s="128"/>
      <c r="BT34" s="133"/>
      <c r="BU34" s="368"/>
      <c r="BV34" s="369"/>
      <c r="BW34" s="129"/>
    </row>
    <row r="35" spans="1:75" ht="19.5" thickBot="1">
      <c r="A35" s="16" t="s">
        <v>93</v>
      </c>
      <c r="B35" s="21"/>
      <c r="C35" s="17"/>
      <c r="D35" s="71">
        <v>300000</v>
      </c>
      <c r="E35" s="70"/>
      <c r="F35" s="18">
        <f>SUM(งบดุลบัญชี!L43)</f>
        <v>11321657.77</v>
      </c>
      <c r="G35" s="16" t="s">
        <v>93</v>
      </c>
      <c r="H35" s="21"/>
      <c r="I35" s="71">
        <v>300000</v>
      </c>
      <c r="J35" s="70"/>
      <c r="K35" s="18">
        <f>SUM(งบดุลบัญชี!R43)</f>
        <v>11313685.43</v>
      </c>
      <c r="L35" s="16" t="s">
        <v>93</v>
      </c>
      <c r="M35" s="21"/>
      <c r="N35" s="71">
        <v>300000</v>
      </c>
      <c r="O35" s="70"/>
      <c r="P35" s="18">
        <f>SUM(งบดุลบัญชี!X43)</f>
        <v>11313685.43</v>
      </c>
      <c r="Q35" s="16" t="s">
        <v>93</v>
      </c>
      <c r="R35" s="21"/>
      <c r="S35" s="17"/>
      <c r="T35" s="71">
        <v>300000</v>
      </c>
      <c r="U35" s="70"/>
      <c r="V35" s="18">
        <f>SUM(งบดุลบัญชี!AD43)</f>
        <v>11313685.43</v>
      </c>
      <c r="W35" s="16" t="s">
        <v>93</v>
      </c>
      <c r="X35" s="21"/>
      <c r="Y35" s="17"/>
      <c r="Z35" s="71">
        <v>300000</v>
      </c>
      <c r="AA35" s="70"/>
      <c r="AB35" s="18">
        <f>SUM(งบดุลบัญชี!AJ43)</f>
        <v>11198685.43</v>
      </c>
      <c r="AC35" s="16" t="s">
        <v>93</v>
      </c>
      <c r="AD35" s="21"/>
      <c r="AE35" s="71">
        <v>300000</v>
      </c>
      <c r="AF35" s="588"/>
      <c r="AG35" s="88">
        <f>SUM(งบดุลบัญชี!AP43)</f>
        <v>10852885.43</v>
      </c>
      <c r="AH35" s="16" t="s">
        <v>93</v>
      </c>
      <c r="AI35" s="21"/>
      <c r="AJ35" s="17"/>
      <c r="AK35" s="71">
        <v>300000</v>
      </c>
      <c r="AL35" s="70"/>
      <c r="AM35" s="18">
        <f>SUM(งบดุลบัญชี!AV43)</f>
        <v>10852885.43</v>
      </c>
      <c r="AN35" s="16" t="s">
        <v>93</v>
      </c>
      <c r="AO35" s="21"/>
      <c r="AP35" s="17"/>
      <c r="AQ35" s="71">
        <v>300000</v>
      </c>
      <c r="AR35" s="70"/>
      <c r="AS35" s="18">
        <f>SUM(งบดุลบัญชี!BB43)</f>
        <v>9781884.43</v>
      </c>
      <c r="AT35" s="16" t="s">
        <v>93</v>
      </c>
      <c r="AU35" s="21"/>
      <c r="AV35" s="17"/>
      <c r="AW35" s="71">
        <v>300000</v>
      </c>
      <c r="AX35" s="70"/>
      <c r="AY35" s="18">
        <f>SUM(งบดุลบัญชี!BH43)</f>
        <v>8214839.43</v>
      </c>
      <c r="AZ35" s="16" t="s">
        <v>93</v>
      </c>
      <c r="BA35" s="21"/>
      <c r="BB35" s="17"/>
      <c r="BC35" s="71">
        <v>300000</v>
      </c>
      <c r="BD35" s="70"/>
      <c r="BE35" s="18">
        <f>SUM(งบดุลบัญชี!BN43)</f>
        <v>5953054.43</v>
      </c>
      <c r="BF35" s="16" t="s">
        <v>93</v>
      </c>
      <c r="BG35" s="21"/>
      <c r="BH35" s="17"/>
      <c r="BI35" s="71">
        <v>300000</v>
      </c>
      <c r="BJ35" s="70"/>
      <c r="BK35" s="18">
        <f>SUM(งบดุลบัญชี!BT43)</f>
        <v>5882829.68</v>
      </c>
      <c r="BL35" s="16" t="s">
        <v>93</v>
      </c>
      <c r="BM35" s="21"/>
      <c r="BN35" s="17"/>
      <c r="BO35" s="71">
        <v>300000</v>
      </c>
      <c r="BP35" s="70"/>
      <c r="BQ35" s="18">
        <f>SUM(งบดุลบัญชี!BZ43)</f>
        <v>6323897.35</v>
      </c>
      <c r="BR35" s="124"/>
      <c r="BS35" s="124"/>
      <c r="BT35" s="124"/>
      <c r="BU35" s="370"/>
      <c r="BV35" s="371">
        <f>SUM(BV5:BV34)</f>
        <v>36700279.96000002</v>
      </c>
      <c r="BW35" s="371">
        <f>SUM(BW5:BW34)</f>
        <v>32681447.76</v>
      </c>
    </row>
    <row r="36" spans="1:75" ht="19.5" thickTop="1">
      <c r="A36" s="16" t="s">
        <v>359</v>
      </c>
      <c r="B36" s="21"/>
      <c r="C36" s="17"/>
      <c r="D36" s="71">
        <v>320000</v>
      </c>
      <c r="E36" s="70"/>
      <c r="F36" s="18">
        <f>SUM(งบดุลบัญชี!L44)</f>
        <v>12197650.87</v>
      </c>
      <c r="G36" s="16" t="s">
        <v>92</v>
      </c>
      <c r="H36" s="21"/>
      <c r="I36" s="71">
        <v>320000</v>
      </c>
      <c r="J36" s="70"/>
      <c r="K36" s="18">
        <f>SUM(งบดุลบัญชี!R44)</f>
        <v>12197561.43</v>
      </c>
      <c r="L36" s="16" t="s">
        <v>92</v>
      </c>
      <c r="M36" s="21"/>
      <c r="N36" s="71">
        <v>320000</v>
      </c>
      <c r="O36" s="70"/>
      <c r="P36" s="18">
        <f>SUM(งบดุลบัญชี!X44)</f>
        <v>12197561.43</v>
      </c>
      <c r="Q36" s="16" t="s">
        <v>92</v>
      </c>
      <c r="R36" s="21"/>
      <c r="S36" s="17"/>
      <c r="T36" s="71">
        <v>320000</v>
      </c>
      <c r="U36" s="70"/>
      <c r="V36" s="18">
        <f>SUM(งบดุลบัญชี!AD44)</f>
        <v>12197561.43</v>
      </c>
      <c r="W36" s="16" t="s">
        <v>92</v>
      </c>
      <c r="X36" s="21"/>
      <c r="Y36" s="17"/>
      <c r="Z36" s="71">
        <v>320000</v>
      </c>
      <c r="AA36" s="70"/>
      <c r="AB36" s="18">
        <f>SUM(งบดุลบัญชี!AJ44)</f>
        <v>12197561.43</v>
      </c>
      <c r="AC36" s="16" t="s">
        <v>92</v>
      </c>
      <c r="AD36" s="21"/>
      <c r="AE36" s="71">
        <v>320000</v>
      </c>
      <c r="AF36" s="588"/>
      <c r="AG36" s="88">
        <f>SUM(งบดุลบัญชี!AP44)</f>
        <v>12197561.43</v>
      </c>
      <c r="AH36" s="16" t="s">
        <v>92</v>
      </c>
      <c r="AI36" s="21"/>
      <c r="AJ36" s="17"/>
      <c r="AK36" s="71">
        <v>320000</v>
      </c>
      <c r="AL36" s="70"/>
      <c r="AM36" s="18">
        <f>SUM(งบดุลบัญชี!AV44)</f>
        <v>12197561.43</v>
      </c>
      <c r="AN36" s="16" t="s">
        <v>92</v>
      </c>
      <c r="AO36" s="21"/>
      <c r="AP36" s="17"/>
      <c r="AQ36" s="71">
        <v>320000</v>
      </c>
      <c r="AR36" s="70"/>
      <c r="AS36" s="18">
        <f>SUM(งบดุลบัญชี!BB44)</f>
        <v>12197561.43</v>
      </c>
      <c r="AT36" s="16" t="s">
        <v>359</v>
      </c>
      <c r="AU36" s="21"/>
      <c r="AV36" s="17"/>
      <c r="AW36" s="71">
        <v>320000</v>
      </c>
      <c r="AX36" s="70"/>
      <c r="AY36" s="18">
        <f>SUM(งบดุลบัญชี!BH44)</f>
        <v>12197561.43</v>
      </c>
      <c r="AZ36" s="16" t="s">
        <v>92</v>
      </c>
      <c r="BA36" s="21"/>
      <c r="BB36" s="17"/>
      <c r="BC36" s="71">
        <v>320000</v>
      </c>
      <c r="BD36" s="70"/>
      <c r="BE36" s="18">
        <f>SUM(งบดุลบัญชี!BN44)</f>
        <v>12197561.43</v>
      </c>
      <c r="BF36" s="16" t="s">
        <v>359</v>
      </c>
      <c r="BG36" s="21"/>
      <c r="BH36" s="17"/>
      <c r="BI36" s="71">
        <v>320000</v>
      </c>
      <c r="BJ36" s="70"/>
      <c r="BK36" s="18">
        <f>SUM(งบดุลบัญชี!BT44)</f>
        <v>12167653.18</v>
      </c>
      <c r="BL36" s="16" t="str">
        <f>+BF36</f>
        <v>บัญชีเงินทุนสำรองสะสม</v>
      </c>
      <c r="BM36" s="21"/>
      <c r="BN36" s="17"/>
      <c r="BO36" s="71">
        <v>320000</v>
      </c>
      <c r="BP36" s="70"/>
      <c r="BQ36" s="18">
        <f>SUM(งบดุลบัญชี!BZ44)</f>
        <v>12167653.18</v>
      </c>
      <c r="BR36" s="124"/>
      <c r="BS36" s="124"/>
      <c r="BT36" s="124"/>
      <c r="BU36" s="372"/>
      <c r="BV36" s="373"/>
      <c r="BW36" s="374"/>
    </row>
    <row r="37" spans="1:75" ht="17.25" customHeight="1">
      <c r="A37" s="16"/>
      <c r="B37" s="21"/>
      <c r="C37" s="17"/>
      <c r="D37" s="72"/>
      <c r="E37" s="18"/>
      <c r="F37" s="18"/>
      <c r="G37" s="192"/>
      <c r="H37" s="193"/>
      <c r="I37" s="72"/>
      <c r="J37" s="194"/>
      <c r="K37" s="194"/>
      <c r="L37" s="209"/>
      <c r="M37" s="210"/>
      <c r="N37" s="72"/>
      <c r="O37" s="194"/>
      <c r="P37" s="194"/>
      <c r="Q37" s="218" t="str">
        <f>+W37</f>
        <v>เงินขาดบัญชี</v>
      </c>
      <c r="R37" s="219"/>
      <c r="S37" s="740"/>
      <c r="T37" s="740"/>
      <c r="U37" s="194"/>
      <c r="V37" s="194"/>
      <c r="W37" s="16" t="s">
        <v>309</v>
      </c>
      <c r="X37" s="21"/>
      <c r="Y37" s="17"/>
      <c r="Z37" s="72"/>
      <c r="AA37" s="18">
        <f>SUM(งบดุลบัญชี!AI131)</f>
        <v>0</v>
      </c>
      <c r="AB37" s="18"/>
      <c r="AC37" s="16" t="s">
        <v>313</v>
      </c>
      <c r="AD37" s="21"/>
      <c r="AE37" s="564">
        <v>230200</v>
      </c>
      <c r="AF37" s="88"/>
      <c r="AG37" s="88">
        <v>0.06</v>
      </c>
      <c r="AH37" s="16" t="s">
        <v>309</v>
      </c>
      <c r="AI37" s="21"/>
      <c r="AJ37" s="17"/>
      <c r="AK37" s="72">
        <v>110608</v>
      </c>
      <c r="AL37" s="18">
        <f>SUM(งบดุลบัญชี!AU131)</f>
        <v>0</v>
      </c>
      <c r="AM37" s="18"/>
      <c r="AN37" s="16" t="s">
        <v>309</v>
      </c>
      <c r="AO37" s="21"/>
      <c r="AP37" s="17"/>
      <c r="AQ37" s="72">
        <v>110608</v>
      </c>
      <c r="AR37" s="18">
        <f>SUM(งบดุลบัญชี!BA131)</f>
        <v>0</v>
      </c>
      <c r="AS37" s="18"/>
      <c r="AT37" s="16" t="s">
        <v>309</v>
      </c>
      <c r="AU37" s="21"/>
      <c r="AV37" s="17"/>
      <c r="AW37" s="72">
        <v>110608</v>
      </c>
      <c r="AX37" s="18">
        <f>SUM(งบดุลบัญชี!BG131)</f>
        <v>0</v>
      </c>
      <c r="AY37" s="18"/>
      <c r="AZ37" s="16" t="s">
        <v>309</v>
      </c>
      <c r="BA37" s="21"/>
      <c r="BB37" s="17"/>
      <c r="BC37" s="72">
        <v>110608</v>
      </c>
      <c r="BD37" s="18">
        <f>SUM(งบดุลบัญชี!BM131)</f>
        <v>0</v>
      </c>
      <c r="BE37" s="18"/>
      <c r="BF37" s="16" t="s">
        <v>309</v>
      </c>
      <c r="BG37" s="21"/>
      <c r="BH37" s="17"/>
      <c r="BI37" s="72">
        <v>110608</v>
      </c>
      <c r="BJ37" s="18">
        <v>0</v>
      </c>
      <c r="BK37" s="18"/>
      <c r="BL37" s="16" t="s">
        <v>547</v>
      </c>
      <c r="BM37" s="21"/>
      <c r="BN37" s="17"/>
      <c r="BO37" s="72">
        <v>441000</v>
      </c>
      <c r="BP37" s="18">
        <v>51514.02</v>
      </c>
      <c r="BQ37" s="18"/>
      <c r="BR37" s="21"/>
      <c r="BS37" s="21"/>
      <c r="BT37" s="21"/>
      <c r="BU37" s="333"/>
      <c r="BV37" s="90"/>
      <c r="BW37" s="90"/>
    </row>
    <row r="38" spans="1:75" ht="15.75" customHeight="1" hidden="1">
      <c r="A38" s="16"/>
      <c r="B38" s="21"/>
      <c r="C38" s="17"/>
      <c r="D38" s="72"/>
      <c r="E38" s="18"/>
      <c r="F38" s="18"/>
      <c r="G38" s="192"/>
      <c r="H38" s="193"/>
      <c r="I38" s="72"/>
      <c r="J38" s="195"/>
      <c r="K38" s="195"/>
      <c r="L38" s="209"/>
      <c r="M38" s="210"/>
      <c r="N38" s="72"/>
      <c r="O38" s="195"/>
      <c r="P38" s="195"/>
      <c r="Q38" s="743" t="s">
        <v>36</v>
      </c>
      <c r="R38" s="730"/>
      <c r="S38" s="740" t="s">
        <v>34</v>
      </c>
      <c r="T38" s="740"/>
      <c r="U38" s="740" t="s">
        <v>35</v>
      </c>
      <c r="V38" s="740"/>
      <c r="W38" s="16"/>
      <c r="X38" s="21"/>
      <c r="Y38" s="17"/>
      <c r="Z38" s="72"/>
      <c r="AA38" s="18"/>
      <c r="AB38" s="18"/>
      <c r="AC38" s="16"/>
      <c r="AD38" s="21"/>
      <c r="AE38" s="564"/>
      <c r="AF38" s="88"/>
      <c r="AG38" s="88"/>
      <c r="AH38" s="16"/>
      <c r="AI38" s="21"/>
      <c r="AJ38" s="17"/>
      <c r="AK38" s="72"/>
      <c r="AL38" s="18"/>
      <c r="AM38" s="18"/>
      <c r="AN38" s="16"/>
      <c r="AO38" s="21"/>
      <c r="AP38" s="17"/>
      <c r="AQ38" s="72"/>
      <c r="AR38" s="18"/>
      <c r="AS38" s="18"/>
      <c r="AT38" s="16"/>
      <c r="AU38" s="21"/>
      <c r="AV38" s="17"/>
      <c r="AW38" s="72"/>
      <c r="AX38" s="18"/>
      <c r="AY38" s="18"/>
      <c r="AZ38" s="16"/>
      <c r="BA38" s="21"/>
      <c r="BB38" s="17"/>
      <c r="BC38" s="72"/>
      <c r="BD38" s="18"/>
      <c r="BE38" s="18"/>
      <c r="BF38" s="16"/>
      <c r="BG38" s="21"/>
      <c r="BH38" s="17"/>
      <c r="BI38" s="72"/>
      <c r="BJ38" s="18"/>
      <c r="BK38" s="18"/>
      <c r="BL38" s="16"/>
      <c r="BM38" s="21"/>
      <c r="BN38" s="17"/>
      <c r="BO38" s="72"/>
      <c r="BP38" s="18"/>
      <c r="BQ38" s="18"/>
      <c r="BR38" s="21"/>
      <c r="BS38" s="21"/>
      <c r="BT38" s="21"/>
      <c r="BU38" s="333"/>
      <c r="BV38" s="90"/>
      <c r="BW38" s="90"/>
    </row>
    <row r="39" spans="1:75" ht="15.75" hidden="1">
      <c r="A39" s="16"/>
      <c r="B39" s="21"/>
      <c r="C39" s="17"/>
      <c r="D39" s="72"/>
      <c r="E39" s="18"/>
      <c r="F39" s="18"/>
      <c r="I39" s="99"/>
      <c r="J39" s="99"/>
      <c r="K39" s="18"/>
      <c r="N39" s="99"/>
      <c r="O39" s="99"/>
      <c r="P39" s="18"/>
      <c r="Q39" s="16"/>
      <c r="R39" s="21"/>
      <c r="S39" s="99"/>
      <c r="T39" s="99"/>
      <c r="U39" s="99"/>
      <c r="V39" s="18"/>
      <c r="W39" s="16"/>
      <c r="X39" s="21"/>
      <c r="Y39" s="17"/>
      <c r="Z39" s="72"/>
      <c r="AA39" s="18"/>
      <c r="AB39" s="18"/>
      <c r="AC39" s="16"/>
      <c r="AD39" s="21"/>
      <c r="AE39" s="564"/>
      <c r="AF39" s="88"/>
      <c r="AG39" s="88"/>
      <c r="AH39" s="16" t="s">
        <v>313</v>
      </c>
      <c r="AI39" s="21"/>
      <c r="AJ39" s="17"/>
      <c r="AK39" s="72">
        <v>230200</v>
      </c>
      <c r="AL39" s="18"/>
      <c r="AM39" s="18">
        <f>SUM(งบดุลบัญชี!AV149)</f>
        <v>0.06</v>
      </c>
      <c r="AN39" s="16" t="s">
        <v>313</v>
      </c>
      <c r="AO39" s="21"/>
      <c r="AP39" s="17"/>
      <c r="AQ39" s="72">
        <v>230200</v>
      </c>
      <c r="AR39" s="18"/>
      <c r="AS39" s="18">
        <f>SUM(งบดุลบัญชี!BB149)</f>
        <v>0.06</v>
      </c>
      <c r="AT39" s="16" t="s">
        <v>313</v>
      </c>
      <c r="AU39" s="21"/>
      <c r="AV39" s="17"/>
      <c r="AW39" s="72">
        <v>230200</v>
      </c>
      <c r="AX39" s="18"/>
      <c r="AY39" s="18">
        <f>SUM(งบดุลบัญชี!BH149)</f>
        <v>0.06</v>
      </c>
      <c r="AZ39" s="16" t="s">
        <v>313</v>
      </c>
      <c r="BA39" s="21"/>
      <c r="BB39" s="17"/>
      <c r="BC39" s="72">
        <v>230200</v>
      </c>
      <c r="BD39" s="18"/>
      <c r="BE39" s="18">
        <f>SUM(งบดุลบัญชี!BN149)</f>
        <v>0.06</v>
      </c>
      <c r="BF39" s="16" t="s">
        <v>313</v>
      </c>
      <c r="BG39" s="21"/>
      <c r="BH39" s="17"/>
      <c r="BI39" s="72">
        <v>230200</v>
      </c>
      <c r="BJ39" s="18"/>
      <c r="BK39" s="18">
        <f>SUM(งบดุลบัญชี!BT149)</f>
        <v>0.06</v>
      </c>
      <c r="BL39" s="16" t="s">
        <v>313</v>
      </c>
      <c r="BM39" s="21"/>
      <c r="BN39" s="17"/>
      <c r="BO39" s="72">
        <v>230200</v>
      </c>
      <c r="BP39" s="18"/>
      <c r="BQ39" s="18">
        <f>SUM(งบดุลบัญชี!BZ149)</f>
        <v>0.06</v>
      </c>
      <c r="BR39" s="21"/>
      <c r="BS39" s="21"/>
      <c r="BT39" s="21"/>
      <c r="BU39" s="333"/>
      <c r="BV39" s="90"/>
      <c r="BW39" s="90"/>
    </row>
    <row r="40" spans="1:75" ht="15.75" hidden="1">
      <c r="A40" s="16"/>
      <c r="B40" s="21"/>
      <c r="C40" s="17"/>
      <c r="D40" s="72"/>
      <c r="E40" s="18"/>
      <c r="F40" s="18"/>
      <c r="I40" s="99"/>
      <c r="J40" s="99"/>
      <c r="K40" s="18"/>
      <c r="N40" s="99"/>
      <c r="O40" s="99"/>
      <c r="P40" s="18"/>
      <c r="Q40" s="16"/>
      <c r="R40" s="21"/>
      <c r="S40" s="99"/>
      <c r="T40" s="99"/>
      <c r="U40" s="99"/>
      <c r="V40" s="18"/>
      <c r="W40" s="16"/>
      <c r="X40" s="21"/>
      <c r="Y40" s="17"/>
      <c r="Z40" s="72"/>
      <c r="AA40" s="18"/>
      <c r="AB40" s="18"/>
      <c r="AC40" s="16"/>
      <c r="AD40" s="21"/>
      <c r="AE40" s="564"/>
      <c r="AF40" s="88"/>
      <c r="AG40" s="88"/>
      <c r="AH40" s="16"/>
      <c r="AI40" s="21"/>
      <c r="AJ40" s="17"/>
      <c r="AK40" s="72"/>
      <c r="AL40" s="18"/>
      <c r="AM40" s="18"/>
      <c r="AN40" s="16"/>
      <c r="AO40" s="21"/>
      <c r="AP40" s="17"/>
      <c r="AQ40" s="72"/>
      <c r="AR40" s="18"/>
      <c r="AS40" s="18"/>
      <c r="AT40" s="16"/>
      <c r="AU40" s="21"/>
      <c r="AV40" s="17"/>
      <c r="AW40" s="72"/>
      <c r="AX40" s="18"/>
      <c r="AY40" s="18"/>
      <c r="AZ40" s="16"/>
      <c r="BA40" s="21"/>
      <c r="BB40" s="17"/>
      <c r="BC40" s="72"/>
      <c r="BD40" s="18"/>
      <c r="BE40" s="18"/>
      <c r="BF40" s="16"/>
      <c r="BG40" s="21"/>
      <c r="BH40" s="17"/>
      <c r="BI40" s="72"/>
      <c r="BJ40" s="18"/>
      <c r="BK40" s="18"/>
      <c r="BL40" s="16"/>
      <c r="BM40" s="21"/>
      <c r="BN40" s="17"/>
      <c r="BO40" s="72"/>
      <c r="BP40" s="18"/>
      <c r="BQ40" s="18"/>
      <c r="BR40" s="21"/>
      <c r="BS40" s="21"/>
      <c r="BT40" s="21"/>
      <c r="BU40" s="333"/>
      <c r="BV40" s="90"/>
      <c r="BW40" s="90"/>
    </row>
    <row r="41" spans="1:75" ht="15.75">
      <c r="A41" s="11"/>
      <c r="B41" s="79"/>
      <c r="C41" s="12"/>
      <c r="D41" s="73"/>
      <c r="E41" s="18"/>
      <c r="F41" s="18"/>
      <c r="G41" s="11"/>
      <c r="H41" s="79"/>
      <c r="I41" s="98"/>
      <c r="J41" s="99"/>
      <c r="K41" s="18"/>
      <c r="L41" s="11"/>
      <c r="M41" s="79"/>
      <c r="N41" s="98"/>
      <c r="O41" s="99"/>
      <c r="P41" s="18"/>
      <c r="Q41" s="11"/>
      <c r="R41" s="79"/>
      <c r="S41" s="98"/>
      <c r="T41" s="98"/>
      <c r="U41" s="98"/>
      <c r="V41" s="38"/>
      <c r="W41" s="11"/>
      <c r="X41" s="79"/>
      <c r="Y41" s="12"/>
      <c r="Z41" s="73"/>
      <c r="AA41" s="18"/>
      <c r="AB41" s="18"/>
      <c r="AC41" s="11"/>
      <c r="AD41" s="79"/>
      <c r="AE41" s="73"/>
      <c r="AF41" s="88"/>
      <c r="AG41" s="88"/>
      <c r="AH41" s="11"/>
      <c r="AI41" s="79"/>
      <c r="AJ41" s="12"/>
      <c r="AK41" s="73"/>
      <c r="AL41" s="18"/>
      <c r="AM41" s="18"/>
      <c r="AN41" s="11"/>
      <c r="AO41" s="79"/>
      <c r="AP41" s="12"/>
      <c r="AQ41" s="73"/>
      <c r="AR41" s="18"/>
      <c r="AS41" s="18"/>
      <c r="AT41" s="11"/>
      <c r="AU41" s="79"/>
      <c r="AV41" s="12"/>
      <c r="AW41" s="73"/>
      <c r="AX41" s="18"/>
      <c r="AY41" s="18"/>
      <c r="AZ41" s="11"/>
      <c r="BA41" s="79"/>
      <c r="BB41" s="12"/>
      <c r="BC41" s="73"/>
      <c r="BD41" s="18"/>
      <c r="BE41" s="18"/>
      <c r="BF41" s="11"/>
      <c r="BG41" s="79"/>
      <c r="BH41" s="12"/>
      <c r="BI41" s="73"/>
      <c r="BJ41" s="18"/>
      <c r="BK41" s="38"/>
      <c r="BL41" s="11"/>
      <c r="BM41" s="79"/>
      <c r="BN41" s="12"/>
      <c r="BO41" s="73"/>
      <c r="BP41" s="18"/>
      <c r="BQ41" s="18"/>
      <c r="BR41" s="21"/>
      <c r="BS41" s="21"/>
      <c r="BT41" s="21"/>
      <c r="BU41" s="333"/>
      <c r="BV41" s="90"/>
      <c r="BW41" s="90"/>
    </row>
    <row r="42" spans="1:75" ht="16.5" thickBot="1">
      <c r="A42" s="21"/>
      <c r="B42" s="21"/>
      <c r="C42" s="21"/>
      <c r="D42" s="17"/>
      <c r="E42" s="74">
        <f>SUM(E5:E41)</f>
        <v>29534987.369999997</v>
      </c>
      <c r="F42" s="74">
        <f>SUM(F5:F41)</f>
        <v>29534987.369999997</v>
      </c>
      <c r="I42" s="23"/>
      <c r="J42" s="196">
        <f>SUM(J5:J41)</f>
        <v>35144812.31000001</v>
      </c>
      <c r="K42" s="196">
        <f>SUM(K5:K41)</f>
        <v>35144812.31</v>
      </c>
      <c r="N42" s="23"/>
      <c r="O42" s="196">
        <f>SUM(O5:O41)</f>
        <v>52498015.96000001</v>
      </c>
      <c r="P42" s="196">
        <f>SUM(P5:P41)</f>
        <v>52498015.96</v>
      </c>
      <c r="U42" s="196">
        <f>SUM(U5:U41)</f>
        <v>54902271.400000006</v>
      </c>
      <c r="V42" s="225">
        <f>SUM(V5:V41)</f>
        <v>54902271.4</v>
      </c>
      <c r="W42" s="21"/>
      <c r="X42" s="21"/>
      <c r="Y42" s="21"/>
      <c r="Z42" s="17"/>
      <c r="AA42" s="74">
        <f>SUM(AA5:AA41)</f>
        <v>64789243.57000001</v>
      </c>
      <c r="AB42" s="74">
        <f>SUM(AB5:AB41)</f>
        <v>64789243.57</v>
      </c>
      <c r="AC42" s="21"/>
      <c r="AD42" s="21"/>
      <c r="AE42" s="17"/>
      <c r="AF42" s="74">
        <f>SUM(AF5:AF41)</f>
        <v>61817185.360000014</v>
      </c>
      <c r="AG42" s="74">
        <f>SUM(AG5:AG41)</f>
        <v>61817185.36000001</v>
      </c>
      <c r="AH42" s="21"/>
      <c r="AI42" s="21"/>
      <c r="AJ42" s="21"/>
      <c r="AK42" s="17"/>
      <c r="AL42" s="74">
        <f>SUM(AL5:AL41)</f>
        <v>56065065.360000014</v>
      </c>
      <c r="AM42" s="74">
        <f>SUM(AM5:AM41)</f>
        <v>61817185.36000001</v>
      </c>
      <c r="AN42" s="21"/>
      <c r="AO42" s="21"/>
      <c r="AP42" s="21"/>
      <c r="AQ42" s="17"/>
      <c r="AR42" s="74">
        <f>SUM(AR5:AR41)</f>
        <v>59283726.44000001</v>
      </c>
      <c r="AS42" s="74">
        <f>SUM(AS5:AS41)</f>
        <v>65407120.46</v>
      </c>
      <c r="AT42" s="21"/>
      <c r="AU42" s="21"/>
      <c r="AV42" s="21"/>
      <c r="AW42" s="17"/>
      <c r="AX42" s="74">
        <f>SUM(AX5:AX41)</f>
        <v>57900313.39000002</v>
      </c>
      <c r="AY42" s="74">
        <f>SUM(AY5:AY41)</f>
        <v>64919001.410000004</v>
      </c>
      <c r="AZ42" s="21"/>
      <c r="BA42" s="21"/>
      <c r="BB42" s="21"/>
      <c r="BC42" s="17"/>
      <c r="BD42" s="74">
        <f>SUM(BD5:BD41)</f>
        <v>56109363.960000016</v>
      </c>
      <c r="BE42" s="74">
        <f>SUM(BE5:BE41)</f>
        <v>64556882.98</v>
      </c>
      <c r="BF42" s="21"/>
      <c r="BG42" s="21"/>
      <c r="BH42" s="21"/>
      <c r="BI42" s="17"/>
      <c r="BJ42" s="74">
        <f>SUM(BJ5:BJ41)</f>
        <v>56061184.69000001</v>
      </c>
      <c r="BK42" s="74">
        <f>SUM(BK23:BK41)</f>
        <v>65271343.71</v>
      </c>
      <c r="BL42" s="21"/>
      <c r="BM42" s="21"/>
      <c r="BN42" s="21"/>
      <c r="BO42" s="17"/>
      <c r="BP42" s="74">
        <f>SUM(BP5:BP41)</f>
        <v>62077493.590000026</v>
      </c>
      <c r="BQ42" s="74">
        <f>SUM(BQ5:BQ41)</f>
        <v>72281729.72999999</v>
      </c>
      <c r="BR42" s="21"/>
      <c r="BS42" s="21"/>
      <c r="BT42" s="21"/>
      <c r="BU42" s="21"/>
      <c r="BV42" s="75"/>
      <c r="BW42" s="75"/>
    </row>
    <row r="43" spans="1:75" ht="16.5" thickTop="1">
      <c r="A43" s="21"/>
      <c r="B43" s="21"/>
      <c r="C43" s="21"/>
      <c r="D43" s="21"/>
      <c r="E43" s="75"/>
      <c r="F43" s="75"/>
      <c r="I43" s="21"/>
      <c r="J43" s="551"/>
      <c r="K43" s="551"/>
      <c r="N43" s="21"/>
      <c r="O43" s="551"/>
      <c r="P43" s="551"/>
      <c r="U43" s="551"/>
      <c r="V43" s="90"/>
      <c r="W43" s="21"/>
      <c r="X43" s="21"/>
      <c r="Y43" s="21"/>
      <c r="Z43" s="21"/>
      <c r="AA43" s="75"/>
      <c r="AB43" s="75"/>
      <c r="AC43" s="21"/>
      <c r="AD43" s="21"/>
      <c r="AE43" s="21"/>
      <c r="AF43" s="75"/>
      <c r="AG43" s="75"/>
      <c r="AH43" s="21"/>
      <c r="AI43" s="21"/>
      <c r="AJ43" s="21"/>
      <c r="AK43" s="21"/>
      <c r="AL43" s="75"/>
      <c r="AM43" s="75"/>
      <c r="AN43" s="21"/>
      <c r="AO43" s="21"/>
      <c r="AP43" s="21"/>
      <c r="AQ43" s="21"/>
      <c r="AR43" s="75"/>
      <c r="AS43" s="75"/>
      <c r="AT43" s="21"/>
      <c r="AU43" s="21"/>
      <c r="AV43" s="21"/>
      <c r="AW43" s="21"/>
      <c r="AX43" s="75"/>
      <c r="AY43" s="75"/>
      <c r="AZ43" s="21"/>
      <c r="BA43" s="21"/>
      <c r="BB43" s="21"/>
      <c r="BC43" s="21"/>
      <c r="BD43" s="75"/>
      <c r="BE43" s="75"/>
      <c r="BF43" s="21"/>
      <c r="BG43" s="21"/>
      <c r="BH43" s="21"/>
      <c r="BI43" s="21"/>
      <c r="BJ43" s="75"/>
      <c r="BK43" s="75"/>
      <c r="BL43" s="21"/>
      <c r="BM43" s="21"/>
      <c r="BN43" s="21"/>
      <c r="BO43" s="21"/>
      <c r="BP43" s="75"/>
      <c r="BQ43" s="75"/>
      <c r="BR43" s="21"/>
      <c r="BS43" s="21"/>
      <c r="BT43" s="21"/>
      <c r="BU43" s="21"/>
      <c r="BV43" s="75"/>
      <c r="BW43" s="75"/>
    </row>
    <row r="44" spans="1:75" ht="15.75">
      <c r="A44" s="21"/>
      <c r="B44" s="21"/>
      <c r="C44" s="21"/>
      <c r="D44" s="21"/>
      <c r="E44" s="75"/>
      <c r="F44" s="75"/>
      <c r="W44" s="21"/>
      <c r="X44" s="21"/>
      <c r="Y44" s="21"/>
      <c r="Z44" s="21"/>
      <c r="AA44" s="75"/>
      <c r="AB44" s="75"/>
      <c r="AC44" s="49" t="s">
        <v>732</v>
      </c>
      <c r="AD44" s="589" t="str">
        <f>+AC44</f>
        <v>ลงชื่อ................................................</v>
      </c>
      <c r="AE44" s="49"/>
      <c r="AF44" s="75" t="str">
        <f>+AD44</f>
        <v>ลงชื่อ................................................</v>
      </c>
      <c r="AG44" s="75"/>
      <c r="AH44" s="21"/>
      <c r="AI44" s="21"/>
      <c r="AJ44" s="21"/>
      <c r="AK44" s="21"/>
      <c r="AL44" s="75"/>
      <c r="AM44" s="75"/>
      <c r="AN44" s="21"/>
      <c r="AO44" s="21"/>
      <c r="AP44" s="21"/>
      <c r="AQ44" s="21"/>
      <c r="AR44" s="75"/>
      <c r="AS44" s="75"/>
      <c r="AT44" s="21"/>
      <c r="AU44" s="21"/>
      <c r="AV44" s="21"/>
      <c r="AW44" s="21"/>
      <c r="AX44" s="75"/>
      <c r="AY44" s="75"/>
      <c r="AZ44" s="21"/>
      <c r="BA44" s="21"/>
      <c r="BB44" s="21"/>
      <c r="BC44" s="21"/>
      <c r="BD44" s="75"/>
      <c r="BE44" s="75"/>
      <c r="BF44" s="21"/>
      <c r="BG44" s="21"/>
      <c r="BH44" s="21"/>
      <c r="BI44" s="21"/>
      <c r="BJ44" s="75"/>
      <c r="BK44" s="75"/>
      <c r="BL44" s="21"/>
      <c r="BM44" s="21"/>
      <c r="BN44" s="21"/>
      <c r="BO44" s="21"/>
      <c r="BP44" s="75"/>
      <c r="BQ44" s="75"/>
      <c r="BR44" s="21"/>
      <c r="BS44" s="21"/>
      <c r="BT44" s="21"/>
      <c r="BU44" s="21"/>
      <c r="BV44" s="75"/>
      <c r="BW44" s="75"/>
    </row>
    <row r="45" spans="1:75" ht="15.75" hidden="1">
      <c r="A45" s="21"/>
      <c r="B45" s="21"/>
      <c r="C45" s="21"/>
      <c r="D45" s="21"/>
      <c r="E45" s="75"/>
      <c r="F45" s="75"/>
      <c r="W45" s="21"/>
      <c r="X45" s="21"/>
      <c r="Y45" s="21"/>
      <c r="Z45" s="21"/>
      <c r="AA45" s="75"/>
      <c r="AB45" s="75"/>
      <c r="AC45" s="49"/>
      <c r="AD45" s="49"/>
      <c r="AE45" s="49"/>
      <c r="AF45" s="75"/>
      <c r="AG45" s="75"/>
      <c r="AH45" s="21"/>
      <c r="AI45" s="21"/>
      <c r="AJ45" s="21"/>
      <c r="AK45" s="21"/>
      <c r="AL45" s="75"/>
      <c r="AM45" s="75"/>
      <c r="AN45" s="21"/>
      <c r="AO45" s="21"/>
      <c r="AP45" s="21"/>
      <c r="AQ45" s="21"/>
      <c r="AR45" s="75"/>
      <c r="AS45" s="75"/>
      <c r="AT45" s="21"/>
      <c r="AU45" s="21"/>
      <c r="AV45" s="21"/>
      <c r="AW45" s="21"/>
      <c r="AX45" s="75"/>
      <c r="AY45" s="75"/>
      <c r="AZ45" s="21"/>
      <c r="BA45" s="21"/>
      <c r="BB45" s="21"/>
      <c r="BC45" s="21"/>
      <c r="BD45" s="75"/>
      <c r="BE45" s="75"/>
      <c r="BF45" s="21"/>
      <c r="BG45" s="21"/>
      <c r="BH45" s="21"/>
      <c r="BI45" s="21"/>
      <c r="BJ45" s="75"/>
      <c r="BK45" s="75"/>
      <c r="BL45" s="21"/>
      <c r="BM45" s="21"/>
      <c r="BN45" s="21"/>
      <c r="BO45" s="21"/>
      <c r="BP45" s="75"/>
      <c r="BQ45" s="75"/>
      <c r="BR45" s="21"/>
      <c r="BS45" s="21"/>
      <c r="BT45" s="21"/>
      <c r="BU45" s="21"/>
      <c r="BV45" s="75"/>
      <c r="BW45" s="75"/>
    </row>
    <row r="46" spans="1:75" ht="15.75">
      <c r="A46" s="386" t="s">
        <v>33</v>
      </c>
      <c r="B46" s="730" t="s">
        <v>33</v>
      </c>
      <c r="C46" s="730"/>
      <c r="D46" s="730"/>
      <c r="E46" s="739" t="s">
        <v>586</v>
      </c>
      <c r="F46" s="739"/>
      <c r="G46" s="208" t="s">
        <v>33</v>
      </c>
      <c r="H46" s="730" t="s">
        <v>33</v>
      </c>
      <c r="I46" s="730"/>
      <c r="J46" s="739" t="s">
        <v>411</v>
      </c>
      <c r="K46" s="739"/>
      <c r="L46" s="208" t="s">
        <v>33</v>
      </c>
      <c r="M46" s="730" t="s">
        <v>33</v>
      </c>
      <c r="N46" s="730"/>
      <c r="O46" s="739" t="s">
        <v>411</v>
      </c>
      <c r="P46" s="739"/>
      <c r="Q46" s="493" t="s">
        <v>642</v>
      </c>
      <c r="R46" s="730" t="s">
        <v>33</v>
      </c>
      <c r="S46" s="730"/>
      <c r="U46" s="739" t="s">
        <v>411</v>
      </c>
      <c r="V46" s="739"/>
      <c r="W46" s="522" t="s">
        <v>642</v>
      </c>
      <c r="X46" s="730" t="s">
        <v>33</v>
      </c>
      <c r="Y46" s="730"/>
      <c r="AA46" s="739" t="s">
        <v>411</v>
      </c>
      <c r="AB46" s="739"/>
      <c r="AC46" s="304" t="s">
        <v>642</v>
      </c>
      <c r="AD46" s="744" t="s">
        <v>33</v>
      </c>
      <c r="AE46" s="744"/>
      <c r="AF46" s="590" t="s">
        <v>411</v>
      </c>
      <c r="AG46" s="148"/>
      <c r="AH46" s="586"/>
      <c r="AI46" s="730">
        <f>+AH46</f>
        <v>0</v>
      </c>
      <c r="AJ46" s="730"/>
      <c r="AK46" s="731" t="e">
        <f>+#REF!</f>
        <v>#REF!</v>
      </c>
      <c r="AL46" s="731"/>
      <c r="AM46" s="731"/>
      <c r="AN46" s="233" t="s">
        <v>33</v>
      </c>
      <c r="AO46" s="730" t="str">
        <f>+AN46</f>
        <v>(นายวสันต์  ไทรแก้ว)</v>
      </c>
      <c r="AP46" s="730"/>
      <c r="AQ46" s="731" t="e">
        <f>+AK46</f>
        <v>#REF!</v>
      </c>
      <c r="AR46" s="731"/>
      <c r="AS46" s="731"/>
      <c r="AT46" s="235" t="s">
        <v>33</v>
      </c>
      <c r="AU46" s="730" t="str">
        <f>+AT46</f>
        <v>(นายวสันต์  ไทรแก้ว)</v>
      </c>
      <c r="AV46" s="730"/>
      <c r="AW46" s="731" t="e">
        <f>+AQ46</f>
        <v>#REF!</v>
      </c>
      <c r="AX46" s="731"/>
      <c r="AY46" s="731"/>
      <c r="AZ46" s="247" t="s">
        <v>33</v>
      </c>
      <c r="BA46" s="730" t="str">
        <f>+AZ46</f>
        <v>(นายวสันต์  ไทรแก้ว)</v>
      </c>
      <c r="BB46" s="730"/>
      <c r="BC46" s="731" t="e">
        <f>+AW46</f>
        <v>#REF!</v>
      </c>
      <c r="BD46" s="731"/>
      <c r="BE46" s="731"/>
      <c r="BF46" s="255" t="s">
        <v>33</v>
      </c>
      <c r="BG46" s="730" t="str">
        <f>+BF46</f>
        <v>(นายวสันต์  ไทรแก้ว)</v>
      </c>
      <c r="BH46" s="730"/>
      <c r="BI46" s="731" t="e">
        <f>+BC46</f>
        <v>#REF!</v>
      </c>
      <c r="BJ46" s="731"/>
      <c r="BK46" s="731"/>
      <c r="BL46" s="303" t="s">
        <v>33</v>
      </c>
      <c r="BM46" s="730" t="str">
        <f>+BL46</f>
        <v>(นายวสันต์  ไทรแก้ว)</v>
      </c>
      <c r="BN46" s="730"/>
      <c r="BO46" s="731" t="e">
        <f>+BI46</f>
        <v>#REF!</v>
      </c>
      <c r="BP46" s="731"/>
      <c r="BQ46" s="731"/>
      <c r="BR46" s="333"/>
      <c r="BS46" s="730"/>
      <c r="BT46" s="730"/>
      <c r="BU46" s="731"/>
      <c r="BV46" s="731"/>
      <c r="BW46" s="731"/>
    </row>
    <row r="47" spans="1:75" ht="15.75">
      <c r="A47" s="385" t="s">
        <v>389</v>
      </c>
      <c r="B47" s="730" t="s">
        <v>34</v>
      </c>
      <c r="C47" s="730"/>
      <c r="D47" s="730"/>
      <c r="E47" s="729" t="s">
        <v>38</v>
      </c>
      <c r="F47" s="729"/>
      <c r="G47" s="441" t="s">
        <v>389</v>
      </c>
      <c r="H47" s="730" t="s">
        <v>289</v>
      </c>
      <c r="I47" s="730"/>
      <c r="J47" s="729" t="s">
        <v>38</v>
      </c>
      <c r="K47" s="729"/>
      <c r="L47" s="441" t="s">
        <v>389</v>
      </c>
      <c r="M47" s="730" t="s">
        <v>34</v>
      </c>
      <c r="N47" s="730"/>
      <c r="O47" s="729" t="s">
        <v>38</v>
      </c>
      <c r="P47" s="729"/>
      <c r="Q47" s="492" t="s">
        <v>36</v>
      </c>
      <c r="R47" s="730" t="s">
        <v>34</v>
      </c>
      <c r="S47" s="730"/>
      <c r="U47" s="729" t="s">
        <v>38</v>
      </c>
      <c r="V47" s="729"/>
      <c r="W47" s="521" t="s">
        <v>36</v>
      </c>
      <c r="X47" s="730" t="s">
        <v>34</v>
      </c>
      <c r="Y47" s="730"/>
      <c r="AA47" s="729" t="s">
        <v>38</v>
      </c>
      <c r="AB47" s="729"/>
      <c r="AC47" s="572" t="s">
        <v>36</v>
      </c>
      <c r="AD47" s="744" t="s">
        <v>34</v>
      </c>
      <c r="AE47" s="744"/>
      <c r="AF47" s="591" t="s">
        <v>38</v>
      </c>
      <c r="AG47" s="148"/>
      <c r="AH47" s="587"/>
      <c r="AI47" s="729" t="s">
        <v>34</v>
      </c>
      <c r="AJ47" s="729"/>
      <c r="AK47" s="730" t="e">
        <f>+#REF!</f>
        <v>#REF!</v>
      </c>
      <c r="AL47" s="730"/>
      <c r="AM47" s="730"/>
      <c r="AN47" s="232" t="s">
        <v>389</v>
      </c>
      <c r="AO47" s="729" t="s">
        <v>34</v>
      </c>
      <c r="AP47" s="729"/>
      <c r="AQ47" s="730" t="e">
        <f>+AK47</f>
        <v>#REF!</v>
      </c>
      <c r="AR47" s="730"/>
      <c r="AS47" s="730"/>
      <c r="AT47" s="234" t="s">
        <v>389</v>
      </c>
      <c r="AU47" s="729" t="s">
        <v>34</v>
      </c>
      <c r="AV47" s="729"/>
      <c r="AW47" s="730" t="e">
        <f>+AQ47</f>
        <v>#REF!</v>
      </c>
      <c r="AX47" s="730"/>
      <c r="AY47" s="730"/>
      <c r="AZ47" s="246" t="s">
        <v>389</v>
      </c>
      <c r="BA47" s="729" t="s">
        <v>34</v>
      </c>
      <c r="BB47" s="729"/>
      <c r="BC47" s="730" t="e">
        <f>+AW47</f>
        <v>#REF!</v>
      </c>
      <c r="BD47" s="730"/>
      <c r="BE47" s="730"/>
      <c r="BF47" s="254" t="s">
        <v>389</v>
      </c>
      <c r="BG47" s="729" t="s">
        <v>34</v>
      </c>
      <c r="BH47" s="729"/>
      <c r="BI47" s="730" t="e">
        <f>+BC47</f>
        <v>#REF!</v>
      </c>
      <c r="BJ47" s="730"/>
      <c r="BK47" s="730"/>
      <c r="BL47" s="302" t="s">
        <v>389</v>
      </c>
      <c r="BM47" s="729" t="s">
        <v>34</v>
      </c>
      <c r="BN47" s="729"/>
      <c r="BO47" s="730" t="e">
        <f>+BI47</f>
        <v>#REF!</v>
      </c>
      <c r="BP47" s="730"/>
      <c r="BQ47" s="730"/>
      <c r="BR47" s="333"/>
      <c r="BS47" s="730"/>
      <c r="BT47" s="730"/>
      <c r="BU47" s="730"/>
      <c r="BV47" s="730"/>
      <c r="BW47" s="730"/>
    </row>
    <row r="48" spans="1:75" ht="15.75">
      <c r="A48" s="176" t="s">
        <v>36</v>
      </c>
      <c r="E48" s="729"/>
      <c r="F48" s="729"/>
      <c r="G48" s="191" t="s">
        <v>36</v>
      </c>
      <c r="J48" s="729"/>
      <c r="K48" s="729"/>
      <c r="L48" s="207" t="str">
        <f>+G48</f>
        <v>หัวหน้ากองคลัง</v>
      </c>
      <c r="Q48" s="217"/>
      <c r="W48" s="521"/>
      <c r="AC48" s="563"/>
      <c r="AG48" s="6"/>
      <c r="AH48" s="7"/>
      <c r="AN48" s="232">
        <f>+AH48</f>
        <v>0</v>
      </c>
      <c r="AT48" s="234">
        <f>+AN48</f>
        <v>0</v>
      </c>
      <c r="AZ48" s="246">
        <f>+AT48</f>
        <v>0</v>
      </c>
      <c r="BF48" s="254">
        <f>+AZ48</f>
        <v>0</v>
      </c>
      <c r="BL48" s="302">
        <f>+BF48</f>
        <v>0</v>
      </c>
      <c r="BR48" s="333"/>
      <c r="BS48" s="21"/>
      <c r="BT48" s="21"/>
      <c r="BU48" s="21"/>
      <c r="BV48" s="21"/>
      <c r="BW48" s="90"/>
    </row>
    <row r="49" spans="6:68" ht="15.75">
      <c r="F49" s="7">
        <f>+F42-E42</f>
        <v>0</v>
      </c>
      <c r="AR49" s="162">
        <f>+AR42-AS42</f>
        <v>-6123394.019999988</v>
      </c>
      <c r="BE49" s="7">
        <f>+BE42-BD42</f>
        <v>8447519.01999998</v>
      </c>
      <c r="BK49" s="7">
        <f>+BK42-BJ42</f>
        <v>9210159.019999988</v>
      </c>
      <c r="BP49" s="162">
        <f>+BP42-BQ42</f>
        <v>-10204236.139999963</v>
      </c>
    </row>
    <row r="50" spans="10:33" ht="15.75">
      <c r="J50" s="162">
        <f>+J42-K42</f>
        <v>0</v>
      </c>
      <c r="P50" s="7">
        <f>+O42-P42</f>
        <v>0</v>
      </c>
      <c r="AB50" s="7">
        <f>+AB42-AA42</f>
        <v>0</v>
      </c>
      <c r="AG50" s="7">
        <f>+AG42-AF42</f>
        <v>0</v>
      </c>
    </row>
    <row r="51" spans="69:74" ht="15.75">
      <c r="BQ51" s="7">
        <f>2927229.11+1708435.14+590820+124966</f>
        <v>5351450.25</v>
      </c>
      <c r="BV51" s="172">
        <f>+BV42-BW42</f>
        <v>0</v>
      </c>
    </row>
    <row r="52" ht="15.75">
      <c r="BQ52" s="7">
        <f>2927229.11+1708435.14+590820+124966</f>
        <v>5351450.25</v>
      </c>
    </row>
    <row r="53" ht="15.75">
      <c r="U53" s="162">
        <f>+U42-V42</f>
        <v>0</v>
      </c>
    </row>
    <row r="55" spans="59:60" ht="15.75">
      <c r="BG55" s="6" t="s">
        <v>366</v>
      </c>
      <c r="BH55" s="162">
        <f>SUM(BJ15:BJ30)</f>
        <v>16790861.45</v>
      </c>
    </row>
  </sheetData>
  <sheetProtection/>
  <mergeCells count="108">
    <mergeCell ref="E48:F48"/>
    <mergeCell ref="E47:F47"/>
    <mergeCell ref="AD46:AE46"/>
    <mergeCell ref="AA46:AB46"/>
    <mergeCell ref="AD47:AE47"/>
    <mergeCell ref="H47:I47"/>
    <mergeCell ref="J47:K47"/>
    <mergeCell ref="M46:N46"/>
    <mergeCell ref="O46:P46"/>
    <mergeCell ref="M47:N47"/>
    <mergeCell ref="O47:P47"/>
    <mergeCell ref="R47:S47"/>
    <mergeCell ref="U46:V46"/>
    <mergeCell ref="U47:V47"/>
    <mergeCell ref="J48:K48"/>
    <mergeCell ref="X46:Y46"/>
    <mergeCell ref="X47:Y47"/>
    <mergeCell ref="B47:D47"/>
    <mergeCell ref="AN1:AS1"/>
    <mergeCell ref="BF2:BK2"/>
    <mergeCell ref="BL2:BQ2"/>
    <mergeCell ref="W2:AB2"/>
    <mergeCell ref="AC2:AG2"/>
    <mergeCell ref="AH2:AM2"/>
    <mergeCell ref="AN2:AS2"/>
    <mergeCell ref="AT2:AY2"/>
    <mergeCell ref="AZ2:BE2"/>
    <mergeCell ref="AT1:AY1"/>
    <mergeCell ref="AZ1:BE1"/>
    <mergeCell ref="BF1:BK1"/>
    <mergeCell ref="BL1:BQ1"/>
    <mergeCell ref="W1:AB1"/>
    <mergeCell ref="AC1:AG1"/>
    <mergeCell ref="AH1:AM1"/>
    <mergeCell ref="A1:F1"/>
    <mergeCell ref="G1:K1"/>
    <mergeCell ref="L1:P1"/>
    <mergeCell ref="Q1:V1"/>
    <mergeCell ref="A4:C4"/>
    <mergeCell ref="G4:H4"/>
    <mergeCell ref="A3:F3"/>
    <mergeCell ref="B46:D46"/>
    <mergeCell ref="W4:Y4"/>
    <mergeCell ref="Q4:S4"/>
    <mergeCell ref="L4:M4"/>
    <mergeCell ref="S37:T37"/>
    <mergeCell ref="H46:I46"/>
    <mergeCell ref="Q38:R38"/>
    <mergeCell ref="S38:T38"/>
    <mergeCell ref="J46:K46"/>
    <mergeCell ref="R46:S46"/>
    <mergeCell ref="A2:F2"/>
    <mergeCell ref="G2:K2"/>
    <mergeCell ref="L2:P2"/>
    <mergeCell ref="Q2:V2"/>
    <mergeCell ref="AT3:AY3"/>
    <mergeCell ref="AZ3:BE3"/>
    <mergeCell ref="BF3:BK3"/>
    <mergeCell ref="BL3:BQ3"/>
    <mergeCell ref="W3:AB3"/>
    <mergeCell ref="AC3:AG3"/>
    <mergeCell ref="AH3:AM3"/>
    <mergeCell ref="AN3:AS3"/>
    <mergeCell ref="G3:K3"/>
    <mergeCell ref="L3:P3"/>
    <mergeCell ref="Q3:V3"/>
    <mergeCell ref="BF4:BH4"/>
    <mergeCell ref="AZ4:BB4"/>
    <mergeCell ref="AT4:AV4"/>
    <mergeCell ref="AH4:AJ4"/>
    <mergeCell ref="AC4:AD4"/>
    <mergeCell ref="AN4:AP4"/>
    <mergeCell ref="E46:F46"/>
    <mergeCell ref="AQ47:AS47"/>
    <mergeCell ref="AU46:AV46"/>
    <mergeCell ref="AW46:AY46"/>
    <mergeCell ref="AU47:AV47"/>
    <mergeCell ref="AW47:AY47"/>
    <mergeCell ref="AQ46:AS46"/>
    <mergeCell ref="BA46:BB46"/>
    <mergeCell ref="BC46:BE46"/>
    <mergeCell ref="BA47:BB47"/>
    <mergeCell ref="BC47:BE47"/>
    <mergeCell ref="BG46:BH46"/>
    <mergeCell ref="BG47:BH47"/>
    <mergeCell ref="AK46:AM46"/>
    <mergeCell ref="U38:V38"/>
    <mergeCell ref="AA47:AB47"/>
    <mergeCell ref="AK47:AM47"/>
    <mergeCell ref="AI46:AJ46"/>
    <mergeCell ref="BR1:BW1"/>
    <mergeCell ref="BR2:BW2"/>
    <mergeCell ref="BR3:BW3"/>
    <mergeCell ref="BR4:BT4"/>
    <mergeCell ref="BS46:BT46"/>
    <mergeCell ref="BU46:BW46"/>
    <mergeCell ref="BS47:BT47"/>
    <mergeCell ref="BU47:BW47"/>
    <mergeCell ref="BL4:BN4"/>
    <mergeCell ref="AI47:AJ47"/>
    <mergeCell ref="AO46:AP46"/>
    <mergeCell ref="AO47:AP47"/>
    <mergeCell ref="BM46:BN46"/>
    <mergeCell ref="BI46:BK46"/>
    <mergeCell ref="BI47:BK47"/>
    <mergeCell ref="BO46:BQ46"/>
    <mergeCell ref="BM47:BN47"/>
    <mergeCell ref="BO47:BQ47"/>
  </mergeCells>
  <printOptions/>
  <pageMargins left="0.7086614173228347" right="0.5905511811023623" top="0.5905511811023623" bottom="0.1968503937007874" header="0.5118110236220472" footer="0.5118110236220472"/>
  <pageSetup horizontalDpi="600" verticalDpi="600" orientation="portrait" paperSize="9" r:id="rId1"/>
  <colBreaks count="11" manualBreakCount="11">
    <brk id="6" max="52" man="1"/>
    <brk id="11" max="52" man="1"/>
    <brk id="16" max="43" man="1"/>
    <brk id="22" max="52" man="1"/>
    <brk id="28" max="52" man="1"/>
    <brk id="33" max="52" man="1"/>
    <brk id="45" max="51" man="1"/>
    <brk id="51" max="51" man="1"/>
    <brk id="57" max="52" man="1"/>
    <brk id="63" max="52" man="1"/>
    <brk id="6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User</dc:creator>
  <cp:keywords/>
  <dc:description/>
  <cp:lastModifiedBy>NEXT Speed</cp:lastModifiedBy>
  <cp:lastPrinted>2014-04-11T07:21:58Z</cp:lastPrinted>
  <dcterms:created xsi:type="dcterms:W3CDTF">2009-10-28T06:19:19Z</dcterms:created>
  <dcterms:modified xsi:type="dcterms:W3CDTF">2015-07-09T02:27:21Z</dcterms:modified>
  <cp:category/>
  <cp:version/>
  <cp:contentType/>
  <cp:contentStatus/>
</cp:coreProperties>
</file>